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MEDIÇÃO" sheetId="2" r:id="rId1"/>
    <sheet name="MC-GAB_ÉRICO" sheetId="5" r:id="rId2"/>
    <sheet name="MC-REF SETIN" sheetId="6" state="hidden" r:id="rId3"/>
    <sheet name="Planilha1" sheetId="7" state="hidden" r:id="rId4"/>
  </sheets>
  <definedNames>
    <definedName name="_xlnm._FilterDatabase" localSheetId="0" hidden="1">MEDIÇÃO!$A$10:$K$10</definedName>
    <definedName name="_xlnm.Print_Area" localSheetId="1">'MC-GAB_ÉRICO'!$B$8:$K$568</definedName>
    <definedName name="_xlnm.Print_Area" localSheetId="0">MEDIÇÃO!$A$3:$K$164</definedName>
    <definedName name="_xlnm.Print_Titles" localSheetId="0">MEDIÇÃO!$8:$10</definedName>
  </definedNames>
  <calcPr calcId="145621"/>
</workbook>
</file>

<file path=xl/calcChain.xml><?xml version="1.0" encoding="utf-8"?>
<calcChain xmlns="http://schemas.openxmlformats.org/spreadsheetml/2006/main">
  <c r="G122" i="2" l="1"/>
  <c r="G426" i="5"/>
  <c r="G427" i="5"/>
  <c r="D438" i="5" l="1"/>
  <c r="K438" i="5"/>
  <c r="D345" i="5"/>
  <c r="D334" i="5"/>
  <c r="K111" i="6"/>
  <c r="K112" i="6"/>
  <c r="K113" i="6"/>
  <c r="K114" i="6"/>
  <c r="K115" i="6"/>
  <c r="K116" i="6"/>
  <c r="K117" i="6"/>
  <c r="K118" i="6"/>
  <c r="K130" i="6"/>
  <c r="K131" i="6"/>
  <c r="K132" i="6"/>
  <c r="K133" i="6"/>
  <c r="K134" i="6"/>
  <c r="K135" i="6"/>
  <c r="K136" i="6"/>
  <c r="K137" i="6"/>
  <c r="J233" i="6"/>
  <c r="C233" i="6"/>
  <c r="K221" i="6"/>
  <c r="K222" i="6"/>
  <c r="K223" i="6"/>
  <c r="K224" i="6"/>
  <c r="K225" i="6"/>
  <c r="K226" i="6"/>
  <c r="K227" i="6"/>
  <c r="K228" i="6"/>
  <c r="K229" i="6"/>
  <c r="B177" i="6"/>
  <c r="C177" i="6"/>
  <c r="J177" i="6"/>
  <c r="K180" i="6"/>
  <c r="K177" i="6" s="1"/>
  <c r="J128" i="6"/>
  <c r="C128" i="6"/>
  <c r="B128" i="6"/>
  <c r="K209" i="6"/>
  <c r="K215" i="6"/>
  <c r="K202" i="6"/>
  <c r="K149" i="6"/>
  <c r="K148" i="6"/>
  <c r="K145" i="6"/>
  <c r="K146" i="6"/>
  <c r="K147" i="6"/>
  <c r="K143" i="6"/>
  <c r="K144" i="6"/>
  <c r="K36" i="6"/>
  <c r="K30" i="6"/>
  <c r="K138" i="6" l="1"/>
  <c r="K128" i="6" s="1"/>
  <c r="J183" i="6" l="1"/>
  <c r="C183" i="6"/>
  <c r="B183" i="6"/>
  <c r="J34" i="6"/>
  <c r="C34" i="6"/>
  <c r="B34" i="6"/>
  <c r="J28" i="6"/>
  <c r="C28" i="6"/>
  <c r="B28" i="6"/>
  <c r="K260" i="6"/>
  <c r="K261" i="6" s="1"/>
  <c r="K258" i="6" s="1"/>
  <c r="J270" i="6"/>
  <c r="C270" i="6"/>
  <c r="B270" i="6"/>
  <c r="J264" i="6"/>
  <c r="C264" i="6"/>
  <c r="B264" i="6"/>
  <c r="K251" i="6"/>
  <c r="K250" i="6"/>
  <c r="J248" i="6"/>
  <c r="C248" i="6"/>
  <c r="B248" i="6"/>
  <c r="B233" i="6"/>
  <c r="J219" i="6"/>
  <c r="C219" i="6"/>
  <c r="B219" i="6"/>
  <c r="K235" i="6"/>
  <c r="K236" i="6" s="1"/>
  <c r="K233" i="6" s="1"/>
  <c r="K230" i="6"/>
  <c r="K219" i="6" s="1"/>
  <c r="K201" i="6"/>
  <c r="K200" i="6"/>
  <c r="K203" i="6"/>
  <c r="K193" i="6"/>
  <c r="H130" i="2"/>
  <c r="H129" i="2"/>
  <c r="H152" i="2"/>
  <c r="H155" i="2"/>
  <c r="G59" i="7"/>
  <c r="F56" i="7"/>
  <c r="I56" i="7" s="1"/>
  <c r="F47" i="7"/>
  <c r="H126" i="2"/>
  <c r="H156" i="2"/>
  <c r="J404" i="5"/>
  <c r="C404" i="5"/>
  <c r="B404" i="5"/>
  <c r="K406" i="5"/>
  <c r="K407" i="5" s="1"/>
  <c r="K404" i="5" s="1"/>
  <c r="K144" i="5"/>
  <c r="J128" i="5"/>
  <c r="C128" i="5"/>
  <c r="B128" i="5"/>
  <c r="K130" i="5"/>
  <c r="K131" i="5" s="1"/>
  <c r="K128" i="5" s="1"/>
  <c r="J140" i="5"/>
  <c r="C140" i="5"/>
  <c r="B140" i="5"/>
  <c r="J134" i="5"/>
  <c r="C134" i="5"/>
  <c r="B134" i="5"/>
  <c r="K143" i="5"/>
  <c r="K142" i="5"/>
  <c r="K137" i="5"/>
  <c r="K134" i="5" s="1"/>
  <c r="K136" i="5"/>
  <c r="J258" i="6"/>
  <c r="C258" i="6"/>
  <c r="B258" i="6"/>
  <c r="K272" i="6"/>
  <c r="K273" i="6" s="1"/>
  <c r="K270" i="6" s="1"/>
  <c r="K266" i="6"/>
  <c r="K267" i="6" s="1"/>
  <c r="K264" i="6" s="1"/>
  <c r="C255" i="6"/>
  <c r="B255" i="6"/>
  <c r="K244" i="6"/>
  <c r="J213" i="6"/>
  <c r="C213" i="6"/>
  <c r="B213" i="6"/>
  <c r="J207" i="6"/>
  <c r="C207" i="6"/>
  <c r="B207" i="6"/>
  <c r="C197" i="6"/>
  <c r="B197" i="6"/>
  <c r="J190" i="6"/>
  <c r="C190" i="6"/>
  <c r="B190" i="6"/>
  <c r="K216" i="6"/>
  <c r="K213" i="6" s="1"/>
  <c r="K210" i="6"/>
  <c r="K207" i="6" s="1"/>
  <c r="K102" i="6"/>
  <c r="K73" i="6"/>
  <c r="H124" i="2"/>
  <c r="H125" i="2"/>
  <c r="H127" i="2"/>
  <c r="H128" i="2"/>
  <c r="H56" i="2"/>
  <c r="H41" i="2"/>
  <c r="H42" i="2"/>
  <c r="H45" i="2"/>
  <c r="H46" i="2"/>
  <c r="H43" i="2"/>
  <c r="H44" i="2"/>
  <c r="K187" i="6" l="1"/>
  <c r="K183" i="6" s="1"/>
  <c r="K37" i="6"/>
  <c r="K34" i="6" s="1"/>
  <c r="K31" i="6"/>
  <c r="K28" i="6" s="1"/>
  <c r="K252" i="6"/>
  <c r="K248" i="6" s="1"/>
  <c r="K145" i="5"/>
  <c r="K140" i="5" s="1"/>
  <c r="K526" i="5"/>
  <c r="K521" i="5"/>
  <c r="K522" i="5"/>
  <c r="K523" i="5"/>
  <c r="K518" i="5"/>
  <c r="H148" i="2"/>
  <c r="H40" i="2"/>
  <c r="H39" i="2"/>
  <c r="K539" i="5"/>
  <c r="K540" i="5" s="1"/>
  <c r="K537" i="5" s="1"/>
  <c r="J537" i="5"/>
  <c r="C537" i="5"/>
  <c r="B537" i="5"/>
  <c r="K426" i="5"/>
  <c r="K427" i="5"/>
  <c r="K43" i="5"/>
  <c r="K44" i="5"/>
  <c r="K42" i="5"/>
  <c r="K168" i="6"/>
  <c r="K169" i="6"/>
  <c r="K170" i="6"/>
  <c r="K171" i="6"/>
  <c r="K172" i="6"/>
  <c r="K173" i="6"/>
  <c r="K162" i="6"/>
  <c r="C166" i="6"/>
  <c r="B166" i="6"/>
  <c r="J159" i="6"/>
  <c r="C159" i="6"/>
  <c r="B159" i="6"/>
  <c r="K199" i="6"/>
  <c r="K204" i="6" s="1"/>
  <c r="K197" i="6" s="1"/>
  <c r="J197" i="6"/>
  <c r="K192" i="6"/>
  <c r="K194" i="6" s="1"/>
  <c r="K190" i="6" s="1"/>
  <c r="J166" i="6"/>
  <c r="J153" i="6"/>
  <c r="C153" i="6"/>
  <c r="B153" i="6"/>
  <c r="J141" i="6"/>
  <c r="C141" i="6"/>
  <c r="B141" i="6"/>
  <c r="J100" i="6"/>
  <c r="C100" i="6"/>
  <c r="B100" i="6"/>
  <c r="K79" i="6"/>
  <c r="K80" i="6"/>
  <c r="K81" i="6"/>
  <c r="K82" i="6"/>
  <c r="K83" i="6"/>
  <c r="K84" i="6"/>
  <c r="K90" i="6"/>
  <c r="K91" i="6"/>
  <c r="K92" i="6"/>
  <c r="K93" i="6"/>
  <c r="J88" i="6"/>
  <c r="C88" i="6"/>
  <c r="B88" i="6"/>
  <c r="K43" i="6"/>
  <c r="K44" i="6"/>
  <c r="K45" i="6"/>
  <c r="K46" i="6"/>
  <c r="K42" i="6"/>
  <c r="K62" i="6"/>
  <c r="K63" i="6"/>
  <c r="K64" i="6"/>
  <c r="K65" i="6"/>
  <c r="K66" i="6"/>
  <c r="K67" i="6"/>
  <c r="K52" i="6"/>
  <c r="K53" i="6"/>
  <c r="K54" i="6"/>
  <c r="K55" i="6"/>
  <c r="K56" i="6"/>
  <c r="K174" i="6" l="1"/>
  <c r="K166" i="6" s="1"/>
  <c r="K94" i="6"/>
  <c r="K88" i="6" s="1"/>
  <c r="H154" i="2"/>
  <c r="J71" i="6"/>
  <c r="C71" i="6"/>
  <c r="B71" i="6"/>
  <c r="J60" i="6"/>
  <c r="C60" i="6"/>
  <c r="B60" i="6"/>
  <c r="J77" i="6"/>
  <c r="C77" i="6"/>
  <c r="B77" i="6"/>
  <c r="J50" i="6"/>
  <c r="C50" i="6"/>
  <c r="B50" i="6"/>
  <c r="J40" i="6"/>
  <c r="C40" i="6"/>
  <c r="B40" i="6"/>
  <c r="K124" i="5"/>
  <c r="C121" i="5"/>
  <c r="B121" i="5"/>
  <c r="K123" i="5"/>
  <c r="K125" i="5" s="1"/>
  <c r="K121" i="5" s="1"/>
  <c r="J121" i="5"/>
  <c r="H38" i="2"/>
  <c r="K70" i="5" l="1"/>
  <c r="K71" i="5"/>
  <c r="K67" i="5"/>
  <c r="K68" i="5"/>
  <c r="K69" i="5"/>
  <c r="J65" i="5" l="1"/>
  <c r="C65" i="5"/>
  <c r="B65" i="5"/>
  <c r="K72" i="5"/>
  <c r="K65" i="5" s="1"/>
  <c r="K562" i="5"/>
  <c r="K563" i="5"/>
  <c r="K564" i="5"/>
  <c r="K565" i="5"/>
  <c r="K566" i="5"/>
  <c r="K567" i="5"/>
  <c r="J501" i="5"/>
  <c r="K77" i="5"/>
  <c r="K40" i="5"/>
  <c r="K41" i="5"/>
  <c r="K512" i="5"/>
  <c r="K513" i="5" s="1"/>
  <c r="K510" i="5" s="1"/>
  <c r="J510" i="5"/>
  <c r="C510" i="5"/>
  <c r="B510" i="5"/>
  <c r="H145" i="2"/>
  <c r="H48" i="2"/>
  <c r="H49" i="2"/>
  <c r="H50" i="2"/>
  <c r="H51" i="2"/>
  <c r="H52" i="2"/>
  <c r="H53" i="2"/>
  <c r="H54" i="2"/>
  <c r="H55" i="2"/>
  <c r="K166" i="5"/>
  <c r="K167" i="5"/>
  <c r="J164" i="5"/>
  <c r="C164" i="5"/>
  <c r="B164" i="5"/>
  <c r="H71" i="2"/>
  <c r="H146" i="2"/>
  <c r="H147" i="2"/>
  <c r="H149" i="2"/>
  <c r="H150" i="2"/>
  <c r="H151" i="2"/>
  <c r="H144" i="2"/>
  <c r="C501" i="5"/>
  <c r="B501" i="5"/>
  <c r="K503" i="5"/>
  <c r="K504" i="5" s="1"/>
  <c r="K501" i="5" s="1"/>
  <c r="J424" i="5"/>
  <c r="C424" i="5"/>
  <c r="B424" i="5"/>
  <c r="H138" i="2"/>
  <c r="H139" i="2"/>
  <c r="H140" i="2"/>
  <c r="H141" i="2"/>
  <c r="H142" i="2"/>
  <c r="H137" i="2"/>
  <c r="H136" i="2"/>
  <c r="B413" i="5"/>
  <c r="J413" i="5"/>
  <c r="C413" i="5"/>
  <c r="H117" i="2"/>
  <c r="H118" i="2"/>
  <c r="H119" i="2"/>
  <c r="H120" i="2"/>
  <c r="H121" i="2"/>
  <c r="H122" i="2"/>
  <c r="H123" i="2"/>
  <c r="H116" i="2"/>
  <c r="H72" i="2"/>
  <c r="H70" i="2"/>
  <c r="C171" i="5"/>
  <c r="H37" i="2"/>
  <c r="H36" i="2"/>
  <c r="H35" i="2"/>
  <c r="H34" i="2"/>
  <c r="K346" i="5"/>
  <c r="K347" i="5"/>
  <c r="K348" i="5"/>
  <c r="K339" i="5"/>
  <c r="K337" i="5"/>
  <c r="K338" i="5"/>
  <c r="K278" i="5"/>
  <c r="K280" i="5"/>
  <c r="K290" i="5"/>
  <c r="K291" i="5"/>
  <c r="K302" i="5"/>
  <c r="K303" i="5"/>
  <c r="K304" i="5"/>
  <c r="K279" i="5"/>
  <c r="J191" i="5"/>
  <c r="C191" i="5"/>
  <c r="B191" i="5"/>
  <c r="K198" i="5"/>
  <c r="K197" i="5"/>
  <c r="K196" i="5"/>
  <c r="K195" i="5"/>
  <c r="K194" i="5"/>
  <c r="K193" i="5"/>
  <c r="K104" i="5"/>
  <c r="K105" i="5"/>
  <c r="K101" i="5"/>
  <c r="K100" i="5"/>
  <c r="K102" i="5"/>
  <c r="K98" i="5"/>
  <c r="K97" i="5"/>
  <c r="K99" i="5"/>
  <c r="K103" i="5"/>
  <c r="K61" i="5"/>
  <c r="K55" i="5"/>
  <c r="K54" i="5"/>
  <c r="K53" i="5"/>
  <c r="K428" i="5" l="1"/>
  <c r="K424" i="5" s="1"/>
  <c r="K168" i="5"/>
  <c r="K164" i="5" s="1"/>
  <c r="K199" i="5"/>
  <c r="K191" i="5" s="1"/>
  <c r="K124" i="6" l="1"/>
  <c r="J109" i="6" l="1"/>
  <c r="C109" i="6"/>
  <c r="J122" i="6"/>
  <c r="C122" i="6"/>
  <c r="B122" i="6"/>
  <c r="B109" i="6"/>
  <c r="J242" i="6"/>
  <c r="C242" i="6"/>
  <c r="B242" i="6"/>
  <c r="C239" i="6"/>
  <c r="B239" i="6"/>
  <c r="K245" i="6"/>
  <c r="K242" i="6" s="1"/>
  <c r="K161" i="6"/>
  <c r="K163" i="6" s="1"/>
  <c r="K159" i="6" s="1"/>
  <c r="K155" i="6"/>
  <c r="K156" i="6" s="1"/>
  <c r="K153" i="6" s="1"/>
  <c r="K150" i="6"/>
  <c r="K141" i="6" s="1"/>
  <c r="K125" i="6"/>
  <c r="K122" i="6" s="1"/>
  <c r="K119" i="6"/>
  <c r="K109" i="6" s="1"/>
  <c r="C106" i="6"/>
  <c r="B106" i="6"/>
  <c r="K103" i="6"/>
  <c r="K100" i="6" s="1"/>
  <c r="C97" i="6"/>
  <c r="B97" i="6"/>
  <c r="K74" i="6"/>
  <c r="K71" i="6" s="1"/>
  <c r="K68" i="6"/>
  <c r="K60" i="6" s="1"/>
  <c r="K85" i="6"/>
  <c r="K77" i="6" s="1"/>
  <c r="K57" i="6"/>
  <c r="K50" i="6" s="1"/>
  <c r="K47" i="6"/>
  <c r="K40" i="6" s="1"/>
  <c r="C25" i="6"/>
  <c r="B25" i="6"/>
  <c r="K21" i="6"/>
  <c r="K22" i="6" s="1"/>
  <c r="K19" i="6" s="1"/>
  <c r="J19" i="6"/>
  <c r="C19" i="6"/>
  <c r="B19" i="6"/>
  <c r="K15" i="6"/>
  <c r="K16" i="6" s="1"/>
  <c r="K13" i="6" s="1"/>
  <c r="J13" i="6"/>
  <c r="C13" i="6"/>
  <c r="B13" i="6"/>
  <c r="C10" i="6"/>
  <c r="B10" i="6"/>
  <c r="K6" i="6"/>
  <c r="K7" i="6" s="1"/>
  <c r="K4" i="6" s="1"/>
  <c r="K548" i="5"/>
  <c r="K549" i="5"/>
  <c r="K550" i="5"/>
  <c r="K418" i="5"/>
  <c r="K419" i="5"/>
  <c r="K420" i="5"/>
  <c r="K451" i="5"/>
  <c r="K452" i="5"/>
  <c r="K453" i="5"/>
  <c r="K454" i="5"/>
  <c r="K456" i="5"/>
  <c r="K455" i="5"/>
  <c r="K220" i="5"/>
  <c r="K221" i="5"/>
  <c r="K222" i="5"/>
  <c r="K223" i="5"/>
  <c r="K224" i="5"/>
  <c r="K225" i="5"/>
  <c r="K179" i="5"/>
  <c r="K180" i="5"/>
  <c r="K181" i="5"/>
  <c r="C11" i="5" l="1"/>
  <c r="B11" i="5"/>
  <c r="J560" i="5"/>
  <c r="C560" i="5"/>
  <c r="B560" i="5"/>
  <c r="J554" i="5"/>
  <c r="C554" i="5"/>
  <c r="B554" i="5"/>
  <c r="J543" i="5"/>
  <c r="C543" i="5"/>
  <c r="B543" i="5"/>
  <c r="J530" i="5"/>
  <c r="C530" i="5"/>
  <c r="B530" i="5"/>
  <c r="J516" i="5"/>
  <c r="C516" i="5"/>
  <c r="B516" i="5"/>
  <c r="C507" i="5"/>
  <c r="B507" i="5"/>
  <c r="J492" i="5"/>
  <c r="C492" i="5"/>
  <c r="B492" i="5"/>
  <c r="J483" i="5"/>
  <c r="C483" i="5"/>
  <c r="B483" i="5"/>
  <c r="J477" i="5"/>
  <c r="C477" i="5"/>
  <c r="B477" i="5"/>
  <c r="J471" i="5"/>
  <c r="C471" i="5"/>
  <c r="B471" i="5"/>
  <c r="J460" i="5"/>
  <c r="C460" i="5"/>
  <c r="B460" i="5"/>
  <c r="J431" i="5"/>
  <c r="C431" i="5"/>
  <c r="B431" i="5"/>
  <c r="C410" i="5"/>
  <c r="B410" i="5"/>
  <c r="J398" i="5"/>
  <c r="C398" i="5"/>
  <c r="B398" i="5"/>
  <c r="J392" i="5"/>
  <c r="C392" i="5"/>
  <c r="B392" i="5"/>
  <c r="J386" i="5"/>
  <c r="C386" i="5"/>
  <c r="B386" i="5"/>
  <c r="J378" i="5"/>
  <c r="C378" i="5"/>
  <c r="B378" i="5"/>
  <c r="J372" i="5"/>
  <c r="C372" i="5"/>
  <c r="B372" i="5"/>
  <c r="K361" i="5"/>
  <c r="K368" i="5"/>
  <c r="J365" i="5"/>
  <c r="C365" i="5"/>
  <c r="B365" i="5"/>
  <c r="J358" i="5"/>
  <c r="C358" i="5"/>
  <c r="B358" i="5"/>
  <c r="C352" i="5"/>
  <c r="B352" i="5"/>
  <c r="J343" i="5"/>
  <c r="C343" i="5"/>
  <c r="B343" i="5"/>
  <c r="J332" i="5"/>
  <c r="C332" i="5"/>
  <c r="B332" i="5"/>
  <c r="J324" i="5"/>
  <c r="C324" i="5"/>
  <c r="B324" i="5"/>
  <c r="J316" i="5"/>
  <c r="C316" i="5"/>
  <c r="B316" i="5"/>
  <c r="J308" i="5"/>
  <c r="C308" i="5"/>
  <c r="B308" i="5"/>
  <c r="J295" i="5"/>
  <c r="C295" i="5"/>
  <c r="B295" i="5"/>
  <c r="J284" i="5"/>
  <c r="B284" i="5"/>
  <c r="C284" i="5"/>
  <c r="J275" i="5"/>
  <c r="C275" i="5"/>
  <c r="B275" i="5"/>
  <c r="K268" i="5"/>
  <c r="K269" i="5"/>
  <c r="K270" i="5"/>
  <c r="K271" i="5"/>
  <c r="J254" i="5"/>
  <c r="C254" i="5"/>
  <c r="B254" i="5"/>
  <c r="J239" i="5"/>
  <c r="C239" i="5"/>
  <c r="B239" i="5"/>
  <c r="J232" i="5"/>
  <c r="C232" i="5"/>
  <c r="B232" i="5"/>
  <c r="C229" i="5"/>
  <c r="B229" i="5"/>
  <c r="J208" i="5"/>
  <c r="C208" i="5"/>
  <c r="B208" i="5"/>
  <c r="J202" i="5"/>
  <c r="C202" i="5"/>
  <c r="B202" i="5"/>
  <c r="J185" i="5"/>
  <c r="C185" i="5"/>
  <c r="B185" i="5"/>
  <c r="J174" i="5"/>
  <c r="C174" i="5"/>
  <c r="B174" i="5"/>
  <c r="B171" i="5"/>
  <c r="C148" i="5"/>
  <c r="B148" i="5"/>
  <c r="J157" i="5"/>
  <c r="C157" i="5"/>
  <c r="B157" i="5"/>
  <c r="J151" i="5"/>
  <c r="C151" i="5"/>
  <c r="B151" i="5"/>
  <c r="J115" i="5"/>
  <c r="C115" i="5"/>
  <c r="B115" i="5"/>
  <c r="J109" i="5"/>
  <c r="C109" i="5"/>
  <c r="B109" i="5"/>
  <c r="J92" i="5"/>
  <c r="C92" i="5"/>
  <c r="B92" i="5"/>
  <c r="J86" i="5"/>
  <c r="C86" i="5"/>
  <c r="B86" i="5"/>
  <c r="J81" i="5"/>
  <c r="C81" i="5"/>
  <c r="B81" i="5"/>
  <c r="J75" i="5"/>
  <c r="C75" i="5"/>
  <c r="B75" i="5"/>
  <c r="J59" i="5"/>
  <c r="C59" i="5"/>
  <c r="B59" i="5"/>
  <c r="J48" i="5"/>
  <c r="C48" i="5"/>
  <c r="B48" i="5"/>
  <c r="J38" i="5"/>
  <c r="C38" i="5"/>
  <c r="B38" i="5"/>
  <c r="J29" i="5"/>
  <c r="B29" i="5"/>
  <c r="C29" i="5"/>
  <c r="B26" i="5"/>
  <c r="C26" i="5"/>
  <c r="J20" i="5"/>
  <c r="J14" i="5"/>
  <c r="B20" i="5"/>
  <c r="B14" i="5"/>
  <c r="C20" i="5"/>
  <c r="C14" i="5"/>
  <c r="K556" i="5"/>
  <c r="K557" i="5" s="1"/>
  <c r="K554" i="5" s="1"/>
  <c r="K547" i="5"/>
  <c r="K546" i="5"/>
  <c r="K545" i="5"/>
  <c r="K533" i="5"/>
  <c r="K532" i="5"/>
  <c r="K497" i="5"/>
  <c r="K496" i="5"/>
  <c r="K495" i="5"/>
  <c r="K494" i="5"/>
  <c r="K488" i="5"/>
  <c r="K487" i="5"/>
  <c r="K486" i="5"/>
  <c r="K485" i="5"/>
  <c r="K417" i="5"/>
  <c r="K416" i="5"/>
  <c r="K415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7" i="5"/>
  <c r="K436" i="5"/>
  <c r="K435" i="5"/>
  <c r="K434" i="5"/>
  <c r="K433" i="5"/>
  <c r="K479" i="5"/>
  <c r="K473" i="5"/>
  <c r="K354" i="5"/>
  <c r="K336" i="5"/>
  <c r="K335" i="5"/>
  <c r="K334" i="5"/>
  <c r="K328" i="5"/>
  <c r="K327" i="5"/>
  <c r="K326" i="5"/>
  <c r="K400" i="5"/>
  <c r="K401" i="5" s="1"/>
  <c r="K398" i="5" s="1"/>
  <c r="K394" i="5"/>
  <c r="K395" i="5" s="1"/>
  <c r="K392" i="5" s="1"/>
  <c r="K388" i="5"/>
  <c r="K389" i="5" s="1"/>
  <c r="K386" i="5" s="1"/>
  <c r="K382" i="5"/>
  <c r="K381" i="5"/>
  <c r="K380" i="5"/>
  <c r="K289" i="5"/>
  <c r="K288" i="5"/>
  <c r="K287" i="5"/>
  <c r="K286" i="5"/>
  <c r="K277" i="5"/>
  <c r="K281" i="5" s="1"/>
  <c r="K275" i="5" s="1"/>
  <c r="K374" i="5"/>
  <c r="K375" i="5" s="1"/>
  <c r="K372" i="5" s="1"/>
  <c r="D235" i="5" s="1"/>
  <c r="K235" i="5" s="1"/>
  <c r="K301" i="5"/>
  <c r="K300" i="5"/>
  <c r="K299" i="5"/>
  <c r="K298" i="5"/>
  <c r="K297" i="5"/>
  <c r="K250" i="5"/>
  <c r="K249" i="5"/>
  <c r="K248" i="5"/>
  <c r="K247" i="5"/>
  <c r="K246" i="5"/>
  <c r="K245" i="5"/>
  <c r="K244" i="5"/>
  <c r="K243" i="5"/>
  <c r="K242" i="5"/>
  <c r="K241" i="5"/>
  <c r="K320" i="5"/>
  <c r="K319" i="5"/>
  <c r="K318" i="5"/>
  <c r="K367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360" i="5"/>
  <c r="K83" i="5"/>
  <c r="K84" i="5" s="1"/>
  <c r="K81" i="5" s="1"/>
  <c r="K117" i="5"/>
  <c r="K118" i="5" s="1"/>
  <c r="K115" i="5" s="1"/>
  <c r="K467" i="5"/>
  <c r="K466" i="5"/>
  <c r="K465" i="5"/>
  <c r="K464" i="5"/>
  <c r="K463" i="5"/>
  <c r="K462" i="5"/>
  <c r="K525" i="5"/>
  <c r="K524" i="5"/>
  <c r="K520" i="5"/>
  <c r="K519" i="5"/>
  <c r="K160" i="5"/>
  <c r="K159" i="5"/>
  <c r="K187" i="5"/>
  <c r="K188" i="5" s="1"/>
  <c r="K185" i="5" s="1"/>
  <c r="K219" i="5"/>
  <c r="K218" i="5"/>
  <c r="K217" i="5"/>
  <c r="K216" i="5"/>
  <c r="K215" i="5"/>
  <c r="K214" i="5"/>
  <c r="K213" i="5"/>
  <c r="K212" i="5"/>
  <c r="K211" i="5"/>
  <c r="K210" i="5"/>
  <c r="K178" i="5"/>
  <c r="K177" i="5"/>
  <c r="K176" i="5"/>
  <c r="K345" i="5"/>
  <c r="K349" i="5" s="1"/>
  <c r="K343" i="5" s="1"/>
  <c r="K111" i="5"/>
  <c r="K112" i="5" s="1"/>
  <c r="K109" i="5" s="1"/>
  <c r="K96" i="5"/>
  <c r="K95" i="5"/>
  <c r="K94" i="5"/>
  <c r="K88" i="5"/>
  <c r="K89" i="5" s="1"/>
  <c r="K86" i="5" s="1"/>
  <c r="K52" i="5"/>
  <c r="K51" i="5"/>
  <c r="K50" i="5"/>
  <c r="K312" i="5"/>
  <c r="K311" i="5"/>
  <c r="K310" i="5"/>
  <c r="K62" i="5"/>
  <c r="K59" i="5" s="1"/>
  <c r="K153" i="5"/>
  <c r="K154" i="5" s="1"/>
  <c r="K151" i="5" s="1"/>
  <c r="K34" i="5"/>
  <c r="K33" i="5"/>
  <c r="K32" i="5"/>
  <c r="K31" i="5"/>
  <c r="E22" i="5"/>
  <c r="K22" i="5" s="1"/>
  <c r="K23" i="5" s="1"/>
  <c r="K20" i="5" s="1"/>
  <c r="K16" i="5"/>
  <c r="K17" i="5" s="1"/>
  <c r="K14" i="5" s="1"/>
  <c r="K6" i="5"/>
  <c r="K7" i="5" s="1"/>
  <c r="K4" i="5" s="1"/>
  <c r="K369" i="5" l="1"/>
  <c r="K365" i="5" s="1"/>
  <c r="K362" i="5"/>
  <c r="K358" i="5" s="1"/>
  <c r="K45" i="5"/>
  <c r="K38" i="5" s="1"/>
  <c r="K355" i="5"/>
  <c r="K352" i="5" s="1"/>
  <c r="K480" i="5"/>
  <c r="K477" i="5" s="1"/>
  <c r="K321" i="5"/>
  <c r="K316" i="5" s="1"/>
  <c r="K534" i="5"/>
  <c r="K530" i="5" s="1"/>
  <c r="K161" i="5"/>
  <c r="K157" i="5" s="1"/>
  <c r="K383" i="5"/>
  <c r="K378" i="5" s="1"/>
  <c r="K498" i="5"/>
  <c r="K492" i="5" s="1"/>
  <c r="K489" i="5"/>
  <c r="K483" i="5" s="1"/>
  <c r="K568" i="5"/>
  <c r="K560" i="5" s="1"/>
  <c r="K56" i="5"/>
  <c r="K48" i="5" s="1"/>
  <c r="K35" i="5"/>
  <c r="K29" i="5" s="1"/>
  <c r="K313" i="5"/>
  <c r="K308" i="5" s="1"/>
  <c r="K106" i="5"/>
  <c r="K92" i="5" s="1"/>
  <c r="K340" i="5"/>
  <c r="K332" i="5" s="1"/>
  <c r="K551" i="5"/>
  <c r="K543" i="5" s="1"/>
  <c r="K182" i="5"/>
  <c r="K174" i="5" s="1"/>
  <c r="K272" i="5"/>
  <c r="K254" i="5" s="1"/>
  <c r="K329" i="5"/>
  <c r="K324" i="5" s="1"/>
  <c r="K457" i="5"/>
  <c r="K431" i="5" s="1"/>
  <c r="K527" i="5"/>
  <c r="K516" i="5" s="1"/>
  <c r="K474" i="5"/>
  <c r="K471" i="5" s="1"/>
  <c r="K251" i="5"/>
  <c r="K239" i="5" s="1"/>
  <c r="K421" i="5"/>
  <c r="K413" i="5" s="1"/>
  <c r="K305" i="5"/>
  <c r="K295" i="5" s="1"/>
  <c r="K292" i="5"/>
  <c r="K284" i="5" s="1"/>
  <c r="K226" i="5"/>
  <c r="K208" i="5" s="1"/>
  <c r="K468" i="5"/>
  <c r="K460" i="5" s="1"/>
  <c r="D204" i="5" l="1"/>
  <c r="J352" i="5"/>
  <c r="K234" i="5"/>
  <c r="K236" i="5" s="1"/>
  <c r="K232" i="5" s="1"/>
  <c r="K78" i="5"/>
  <c r="K75" i="5" s="1"/>
  <c r="K204" i="5" l="1"/>
  <c r="K205" i="5" s="1"/>
  <c r="K202" i="5" s="1"/>
</calcChain>
</file>

<file path=xl/sharedStrings.xml><?xml version="1.0" encoding="utf-8"?>
<sst xmlns="http://schemas.openxmlformats.org/spreadsheetml/2006/main" count="2598" uniqueCount="743">
  <si>
    <t>Item</t>
  </si>
  <si>
    <t>Código</t>
  </si>
  <si>
    <t>Banco</t>
  </si>
  <si>
    <t>Descrição</t>
  </si>
  <si>
    <t>Und</t>
  </si>
  <si>
    <t>Quant.</t>
  </si>
  <si>
    <t>Total</t>
  </si>
  <si>
    <t xml:space="preserve"> 1 </t>
  </si>
  <si>
    <t>ADMINISTRAÇÃO LOCAL</t>
  </si>
  <si>
    <t xml:space="preserve"> 1.1 </t>
  </si>
  <si>
    <t xml:space="preserve"> 90776 </t>
  </si>
  <si>
    <t>SINAPI</t>
  </si>
  <si>
    <t>ENCARREGADO GERAL COM ENCARGOS COMPLEMENTARES</t>
  </si>
  <si>
    <t>H</t>
  </si>
  <si>
    <t xml:space="preserve"> 1.2 </t>
  </si>
  <si>
    <t xml:space="preserve"> 90777 </t>
  </si>
  <si>
    <t>ENGENHEIRO CIVIL DE OBRA JUNIOR COM ENCARGOS
COMPLEMENTARES</t>
  </si>
  <si>
    <t xml:space="preserve"> 2 </t>
  </si>
  <si>
    <t>VIDROS</t>
  </si>
  <si>
    <t xml:space="preserve"> 2.1 </t>
  </si>
  <si>
    <t xml:space="preserve"> 102180 </t>
  </si>
  <si>
    <t>m²</t>
  </si>
  <si>
    <t xml:space="preserve"> 2.2 </t>
  </si>
  <si>
    <t xml:space="preserve"> 85005 </t>
  </si>
  <si>
    <t>ESPELHO CRISTAL, ESPESSURA 4MM, COM PARAFUSOS DE FIXACAO, SEM MOLDURA</t>
  </si>
  <si>
    <t xml:space="preserve"> 3 </t>
  </si>
  <si>
    <t>PAREDES, PAINÉIS, DEMOLIÇÕES E ESQUADRIAS</t>
  </si>
  <si>
    <t xml:space="preserve"> 3.1 </t>
  </si>
  <si>
    <t xml:space="preserve"> 97631 </t>
  </si>
  <si>
    <t>DEMOLIÇÃO DE ARGAMASSAS, DE FORMA MANUAL, SEM
REAPROVEITAMENTO. AF  12/2017</t>
  </si>
  <si>
    <t xml:space="preserve"> 3.2 </t>
  </si>
  <si>
    <t xml:space="preserve"> 97632 </t>
  </si>
  <si>
    <t>M</t>
  </si>
  <si>
    <t xml:space="preserve"> 3.3 </t>
  </si>
  <si>
    <t xml:space="preserve"> 97633 </t>
  </si>
  <si>
    <t xml:space="preserve"> 3.4 </t>
  </si>
  <si>
    <t xml:space="preserve"> 97644 </t>
  </si>
  <si>
    <t xml:space="preserve"> 3.5 </t>
  </si>
  <si>
    <t xml:space="preserve"> 97660 </t>
  </si>
  <si>
    <t>UN</t>
  </si>
  <si>
    <t xml:space="preserve"> 3.6 </t>
  </si>
  <si>
    <t xml:space="preserve"> 97661 </t>
  </si>
  <si>
    <t xml:space="preserve"> 3.7 </t>
  </si>
  <si>
    <t xml:space="preserve"> 97663 </t>
  </si>
  <si>
    <t xml:space="preserve"> 3.8 </t>
  </si>
  <si>
    <t xml:space="preserve"> 97638 </t>
  </si>
  <si>
    <t xml:space="preserve"> 3.9 </t>
  </si>
  <si>
    <t xml:space="preserve"> 96358 </t>
  </si>
  <si>
    <t>PAREDE COM PLACAS DE GESSO ACARTONADO (DRYWALL), PARA USO INTERNO, COM DUAS FACES SIMPLES E ESTRUTURA METÁLICA COM GUIAS SIMPLES, SEM VÃOS. AF_06/2017_P</t>
  </si>
  <si>
    <t xml:space="preserve"> 3.10 </t>
  </si>
  <si>
    <t xml:space="preserve"> 96372 </t>
  </si>
  <si>
    <t>INSTALAÇÃO DE ISOLAMENTO COM LÃ DE ROCHA EM PAREDES DRYWALL. AF_06/2017</t>
  </si>
  <si>
    <t xml:space="preserve"> 3.11 </t>
  </si>
  <si>
    <t xml:space="preserve"> 96373 </t>
  </si>
  <si>
    <t xml:space="preserve"> 3.12 </t>
  </si>
  <si>
    <t xml:space="preserve"> 100697 </t>
  </si>
  <si>
    <t xml:space="preserve"> 3.13 </t>
  </si>
  <si>
    <t>Próprio</t>
  </si>
  <si>
    <t>DIVISÓRIA (N3) PAINEL/VIDRO/PAINEL MSO/COLMEIA E=35MM - MONTANTE/RODAPE DUPLO AÇO GALV PINTADO - COLOCADA</t>
  </si>
  <si>
    <t xml:space="preserve"> 3.14 </t>
  </si>
  <si>
    <t>DIVISÓRIA CEGA (N1) - PAINEL MSO/COLMEIA E=35MM - MONTANTE/RODAPÉ DUPLO AÇO GALV PINTADO - COLOCADA</t>
  </si>
  <si>
    <t xml:space="preserve"> 3.15 </t>
  </si>
  <si>
    <t xml:space="preserve"> 100659 </t>
  </si>
  <si>
    <t xml:space="preserve"> 3.16 </t>
  </si>
  <si>
    <t xml:space="preserve"> 90843 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</si>
  <si>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</si>
  <si>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 xml:space="preserve"> 4 </t>
  </si>
  <si>
    <t>FORROS</t>
  </si>
  <si>
    <t xml:space="preserve"> 4.1 </t>
  </si>
  <si>
    <t xml:space="preserve"> 97640 </t>
  </si>
  <si>
    <t xml:space="preserve"> 4.2 </t>
  </si>
  <si>
    <t xml:space="preserve"> 97641 </t>
  </si>
  <si>
    <t>REMOÇÃO DE FORRO DE GESSO, DE FORMA MANUAL, SEM
REAPROVEITAMENTO. AF  12/2017</t>
  </si>
  <si>
    <t xml:space="preserve"> 4.3 </t>
  </si>
  <si>
    <t xml:space="preserve"> 97642 </t>
  </si>
  <si>
    <t>REMOÇÃO DE TRAMA METÁLICA OU DE MADEIRA PARA FORRO, DE FORMA MANUAL, SEM REAPROVEITAMENTO. AF_12/2017</t>
  </si>
  <si>
    <t xml:space="preserve"> 4.4 </t>
  </si>
  <si>
    <t xml:space="preserve"> 96114 </t>
  </si>
  <si>
    <t xml:space="preserve"> 4.5 </t>
  </si>
  <si>
    <t xml:space="preserve"> 96123 </t>
  </si>
  <si>
    <t xml:space="preserve"> 4.6 </t>
  </si>
  <si>
    <t xml:space="preserve"> 96113 </t>
  </si>
  <si>
    <t>FORRO EM PLACAS DE GESSO, PARA AMBIENTES COMERCIAIS.
AF  05/2017  P</t>
  </si>
  <si>
    <t xml:space="preserve"> 4.7 </t>
  </si>
  <si>
    <t xml:space="preserve"> 96120 </t>
  </si>
  <si>
    <t>ACABAMENTOS PARA FORRO (MOLDURA DE GESSO). AF_05/2017</t>
  </si>
  <si>
    <t xml:space="preserve"> 5 </t>
  </si>
  <si>
    <t>PISOS, REVESTIMENTOS E IMPERMEABILIZAÇÃO</t>
  </si>
  <si>
    <t xml:space="preserve"> 5.1 </t>
  </si>
  <si>
    <t xml:space="preserve"> 98546 </t>
  </si>
  <si>
    <t xml:space="preserve"> 5.2 </t>
  </si>
  <si>
    <t xml:space="preserve"> 98558 </t>
  </si>
  <si>
    <t xml:space="preserve"> 5.3 </t>
  </si>
  <si>
    <t xml:space="preserve"> 98556 </t>
  </si>
  <si>
    <t xml:space="preserve"> 5.4 </t>
  </si>
  <si>
    <t xml:space="preserve"> 98671 </t>
  </si>
  <si>
    <t>PISO EM GRANITO APLICADO EM AMBIENTES INTERNOS. AF_09/2020</t>
  </si>
  <si>
    <t xml:space="preserve"> 5.5 </t>
  </si>
  <si>
    <t xml:space="preserve"> 101727 </t>
  </si>
  <si>
    <t xml:space="preserve"> 5.6 </t>
  </si>
  <si>
    <t xml:space="preserve"> 94779 </t>
  </si>
  <si>
    <t>(COMPOSIÇÃO REPRESENTATIVA) DO SERVIÇO DE CONTRAPISO EM ARGAMASSA TRAÇO 1:4 (CIM E AREIA), EM BETONEIRA 400 L, ESPESSURA 3 CM ÁREAS SECAS E 3 CM ÁREAS MOLHADAS, PARA EDIFICAÇÃO HABITACIONAL MULTIFAMILIAR (PRÉDIO). AF_11/2014</t>
  </si>
  <si>
    <t xml:space="preserve"> 5.7 </t>
  </si>
  <si>
    <t xml:space="preserve"> 87260 </t>
  </si>
  <si>
    <t>REVESTIMENTO CERÂMICO PARA PISO COM PLACAS TIPO
PORCELANATO DE DIMENSÕES 45X45 CM APLICADA EM AMBIENTES DE ÁREA MAIOR QUE 10 M². AF  06/2014</t>
  </si>
  <si>
    <t xml:space="preserve"> 5.8 </t>
  </si>
  <si>
    <t xml:space="preserve"> 98688 </t>
  </si>
  <si>
    <t>RODAPÉ EM POLIESTIRENO, ALTURA 5 CM. AF_09/2020</t>
  </si>
  <si>
    <t xml:space="preserve"> 5.9 </t>
  </si>
  <si>
    <t xml:space="preserve"> 98685 </t>
  </si>
  <si>
    <t>RODAPÉ EM GRANITO, ALTURA 10 CM. AF_09/2020</t>
  </si>
  <si>
    <t xml:space="preserve"> 5.10 </t>
  </si>
  <si>
    <t xml:space="preserve"> 88649 </t>
  </si>
  <si>
    <t xml:space="preserve"> 5.11 </t>
  </si>
  <si>
    <t xml:space="preserve"> 87265 </t>
  </si>
  <si>
    <t xml:space="preserve"> 5.12 </t>
  </si>
  <si>
    <t xml:space="preserve"> 98689 </t>
  </si>
  <si>
    <t>SOLEIRA EM GRANITO, LARGURA 15 CM, ESPESSURA 2,0 CM. AF_09/2020</t>
  </si>
  <si>
    <t xml:space="preserve"> 6 </t>
  </si>
  <si>
    <t>INSTALAÇÕES HIDRÁULICAS E SANITÁRIAS</t>
  </si>
  <si>
    <t xml:space="preserve"> 6.1 </t>
  </si>
  <si>
    <t xml:space="preserve"> 89984 </t>
  </si>
  <si>
    <t xml:space="preserve"> 6.2 </t>
  </si>
  <si>
    <t xml:space="preserve"> 89985 </t>
  </si>
  <si>
    <t>REGISTRO DE PRESSÃO BRUTO, LATÃO, ROSCÁVEL, 3/4", COM
ACABAMENTO E CANOPLA CROMADOS - FORNECIMENTO E INSTALAÇÃO. AF 08/2021</t>
  </si>
  <si>
    <t xml:space="preserve"> 6.3 </t>
  </si>
  <si>
    <t xml:space="preserve"> 97666 </t>
  </si>
  <si>
    <t>REMOÇÃO DE METAIS SANITÁRIOS, DE FORMA MANUAL, SEM
REAPROVEITAMENTO. AF  12/2017</t>
  </si>
  <si>
    <t xml:space="preserve"> 6.4 </t>
  </si>
  <si>
    <t xml:space="preserve"> 86883 </t>
  </si>
  <si>
    <t>SIFÃO DO TIPO FLEXÍVEL EM PVC 1  X 1.1/2  - FORNECIMENTO E
INSTALAÇÃO. AF 01/2020</t>
  </si>
  <si>
    <t xml:space="preserve"> 6.5 </t>
  </si>
  <si>
    <t xml:space="preserve"> 86882 </t>
  </si>
  <si>
    <t xml:space="preserve"> 6.6 </t>
  </si>
  <si>
    <t xml:space="preserve"> 86884 </t>
  </si>
  <si>
    <t xml:space="preserve"> 6.7 </t>
  </si>
  <si>
    <t xml:space="preserve"> 86885 </t>
  </si>
  <si>
    <t xml:space="preserve"> 6.8 </t>
  </si>
  <si>
    <t xml:space="preserve"> 100878 </t>
  </si>
  <si>
    <t>VASO SANITÁRIO SIFONADO COM CAIXA ACOPLADA, LOUÇA BRANCA - PADRÃO ALTO - FORNECIMENTO E INSTALAÇÃO. AF_01/2020</t>
  </si>
  <si>
    <t xml:space="preserve"> 6.9 </t>
  </si>
  <si>
    <t xml:space="preserve"> 86901 </t>
  </si>
  <si>
    <t>CUBA DE EMBUTIR OVAL EM LOUÇA BRANCA, 35 X 50CM OU EQUIVALENTE - FORNECIMENTO E INSTALAÇÃO. AF_01/2020</t>
  </si>
  <si>
    <t xml:space="preserve"> 6.10 </t>
  </si>
  <si>
    <t xml:space="preserve"> 86915 </t>
  </si>
  <si>
    <t xml:space="preserve"> 6.11 </t>
  </si>
  <si>
    <t xml:space="preserve"> 86903 </t>
  </si>
  <si>
    <t>LAVATÓRIO LOUÇA BRANCA COM COLUNA, 45 X 55CM OU EQUIVALENTE, PADRÃO MÉDIO - FORNECIMENTO E INSTALAÇÃO. AF_01/2020</t>
  </si>
  <si>
    <t xml:space="preserve"> 6.12 </t>
  </si>
  <si>
    <t xml:space="preserve"> 95546 </t>
  </si>
  <si>
    <t xml:space="preserve"> 6.13 </t>
  </si>
  <si>
    <t xml:space="preserve"> 100849 </t>
  </si>
  <si>
    <t xml:space="preserve"> 7 </t>
  </si>
  <si>
    <t>INSTALAÇÕES ELÉTRICAS / DADOS / VOZ e IMAGEM</t>
  </si>
  <si>
    <t xml:space="preserve"> 7.1 </t>
  </si>
  <si>
    <t xml:space="preserve"> 91928 </t>
  </si>
  <si>
    <t xml:space="preserve"> 7.2 </t>
  </si>
  <si>
    <t xml:space="preserve"> 92979 </t>
  </si>
  <si>
    <t>CABO DE COBRE FLEXÍVEL ISOLADO, 10 MM², ANTI-CHAMA 450/750 V, PARA DISTRIBUIÇÃO - FORNECIMENTO E INSTALAÇÃO. AF_12/2015</t>
  </si>
  <si>
    <t xml:space="preserve"> 7.3 </t>
  </si>
  <si>
    <t xml:space="preserve"> 91926 </t>
  </si>
  <si>
    <t xml:space="preserve"> 7.4 </t>
  </si>
  <si>
    <t xml:space="preserve"> 92981 </t>
  </si>
  <si>
    <t>CABO DE COBRE FLEXÍVEL ISOLADO, 16 MM², ANTI-CHAMA 450/750 V, PARA DISTRIBUIÇÃO - FORNECIMENTO E INSTALAÇÃO. AF_12/2015</t>
  </si>
  <si>
    <t xml:space="preserve"> 7.5 </t>
  </si>
  <si>
    <t xml:space="preserve"> 92983 </t>
  </si>
  <si>
    <t>CABO DE COBRE FLEXÍVEL ISOLADO, 25 MM², ANTI-CHAMA 450/750 V, PARA DISTRIBUIÇÃO - FORNECIMENTO E INSTALAÇÃO. AF_12/2015</t>
  </si>
  <si>
    <t xml:space="preserve"> 7.6 </t>
  </si>
  <si>
    <t xml:space="preserve"> 7.7 </t>
  </si>
  <si>
    <t xml:space="preserve"> 91833 </t>
  </si>
  <si>
    <t xml:space="preserve"> 7.8 </t>
  </si>
  <si>
    <t xml:space="preserve"> 91835 </t>
  </si>
  <si>
    <t xml:space="preserve"> 7.9 </t>
  </si>
  <si>
    <t xml:space="preserve"> 91853 </t>
  </si>
  <si>
    <t xml:space="preserve"> 7.10 </t>
  </si>
  <si>
    <t xml:space="preserve"> 91855 </t>
  </si>
  <si>
    <t xml:space="preserve"> 7.11 </t>
  </si>
  <si>
    <t xml:space="preserve"> 91953 </t>
  </si>
  <si>
    <t>INTERRUPTOR SIMPLES (1 MÓDULO), 10A/250V, INCLUINDO SUPORTE E PLACA - FORNECIMENTO E INSTALAÇÃO. AF_12/2015</t>
  </si>
  <si>
    <t xml:space="preserve"> 7.12 </t>
  </si>
  <si>
    <t xml:space="preserve"> 91965 </t>
  </si>
  <si>
    <t xml:space="preserve"> 7.13 </t>
  </si>
  <si>
    <t xml:space="preserve"> 92004 </t>
  </si>
  <si>
    <t>TOMADA MÉDIA DE EMBUTIR (2 MÓDULOS), 2P+T 10 A, INCLUINDO SUPORTE E PLACA - FORNECIMENTO E INSTALAÇÃO. AF_12/2015</t>
  </si>
  <si>
    <t xml:space="preserve"> 7.14 </t>
  </si>
  <si>
    <t xml:space="preserve"> 92005 </t>
  </si>
  <si>
    <t>TOMADA MÉDIA DE EMBUTIR (2 MÓDULOS), 2P+T 20 A, INCLUINDO SUPORTE E PLACA - FORNECIMENTO E INSTALAÇÃO. AF_12/2015</t>
  </si>
  <si>
    <t xml:space="preserve"> 7.15 </t>
  </si>
  <si>
    <t xml:space="preserve"> 97665 </t>
  </si>
  <si>
    <t xml:space="preserve"> 7.16 </t>
  </si>
  <si>
    <t xml:space="preserve"> 97599 </t>
  </si>
  <si>
    <t>LUMINÁRIA DE EMERGÊNCIA, COM 30 LÂMPADAS LED DE 2 W, SEM REATOR - FORNECIMENTO E INSTALAÇÃO. AF_02/2020</t>
  </si>
  <si>
    <t xml:space="preserve"> 7.17 </t>
  </si>
  <si>
    <t xml:space="preserve"> 97592 </t>
  </si>
  <si>
    <t xml:space="preserve"> 7.18 </t>
  </si>
  <si>
    <t xml:space="preserve"> 91940 </t>
  </si>
  <si>
    <t>CAIXA RETANGULAR 4" X 2" MÉDIA (1,30 M DO PISO), PVC, INSTALADA EM PAREDE - FORNECIMENTO E INSTALAÇÃO. AF_12/2015</t>
  </si>
  <si>
    <t xml:space="preserve"> 7.19 </t>
  </si>
  <si>
    <t xml:space="preserve"> 98297 </t>
  </si>
  <si>
    <t>CABO ELETRÔNICO CATEGORIA 6, INSTALADO EM EDIFICAÇÃO INSTITUCIONAL - FORNECIMENTO E INSTALAÇÃO. AF_11/2019</t>
  </si>
  <si>
    <t xml:space="preserve"> 7.20 </t>
  </si>
  <si>
    <t xml:space="preserve"> 98307 </t>
  </si>
  <si>
    <t>TOMADA DE REDE RJ45 - FORNECIMENTO E INSTALAÇÃO. AF_11/2019</t>
  </si>
  <si>
    <t xml:space="preserve"> 7.21 </t>
  </si>
  <si>
    <t xml:space="preserve"> 98308 </t>
  </si>
  <si>
    <t xml:space="preserve"> 7.22 </t>
  </si>
  <si>
    <t>TOMADA DUPLA DE SOBREPOR 10A</t>
  </si>
  <si>
    <t xml:space="preserve"> 7.23 </t>
  </si>
  <si>
    <t>TOMADA DUPLA DE SOBREPOR 20A</t>
  </si>
  <si>
    <t xml:space="preserve"> 7.24 </t>
  </si>
  <si>
    <t>INTERRUPTOR DUPLO DE SOPREPOR</t>
  </si>
  <si>
    <t xml:space="preserve"> 7.25 </t>
  </si>
  <si>
    <t>INTERRUPTOR SIMPLES DE SOBREPOR</t>
  </si>
  <si>
    <t xml:space="preserve"> 7.26 </t>
  </si>
  <si>
    <t>REMOÇÃO DE CABO DE LÓGICA</t>
  </si>
  <si>
    <t xml:space="preserve"> 7.27 </t>
  </si>
  <si>
    <t>REMOÇÃO DE TOMADA DE LÓGICA</t>
  </si>
  <si>
    <t xml:space="preserve"> 7.28 </t>
  </si>
  <si>
    <t>REINSTALAÇÃO DE TOMADA DE LÓGICA COM APROVEITAMENTO DE MATERIAL</t>
  </si>
  <si>
    <t xml:space="preserve"> 7.29 </t>
  </si>
  <si>
    <t xml:space="preserve"> 86879 </t>
  </si>
  <si>
    <t xml:space="preserve"> 8 </t>
  </si>
  <si>
    <t>PINTURAS E TRATAMENTOS</t>
  </si>
  <si>
    <t xml:space="preserve"> 8.1 </t>
  </si>
  <si>
    <t xml:space="preserve"> 88489 </t>
  </si>
  <si>
    <t xml:space="preserve"> 8.2 </t>
  </si>
  <si>
    <t xml:space="preserve"> 88488 </t>
  </si>
  <si>
    <t xml:space="preserve"> 8.3 </t>
  </si>
  <si>
    <t xml:space="preserve"> 88497 </t>
  </si>
  <si>
    <t xml:space="preserve"> 8.4 </t>
  </si>
  <si>
    <t xml:space="preserve"> 100746 </t>
  </si>
  <si>
    <t xml:space="preserve"> 8.5 </t>
  </si>
  <si>
    <t>Pintura em Tinta Suvinil - tipo Acetinado, cor: papel picado.</t>
  </si>
  <si>
    <t xml:space="preserve"> 9 </t>
  </si>
  <si>
    <t>SERVIÇOS COMPLEMENTARES</t>
  </si>
  <si>
    <t xml:space="preserve"> 9.1 </t>
  </si>
  <si>
    <t>CARGA, MANOBRA E DESCARGA DE ENTULHO EM CAMINHÃO
BASCULANTE 10 M³ - CARGA COM ESCAVADEIRA HIDRÁULICA (CAÇAMBA DE 0,80 M³ / 111 HP) E DESCARGA LIVRE (UNIDADE: M3).</t>
  </si>
  <si>
    <t>m³</t>
  </si>
  <si>
    <t>Total sem BDI</t>
  </si>
  <si>
    <t>Total do BDI</t>
  </si>
  <si>
    <t>Total Geral</t>
  </si>
  <si>
    <t>COLETA E CARGA MANUAIS DE ENTULHO</t>
  </si>
  <si>
    <t>LOCAÇÃO DE CAIXA COLETORA DE ENTULHO CAPACIDADE 5M³ (LOCAL: MANAUS), PRAZO MÁXIMO DE 7 DIAS</t>
  </si>
  <si>
    <t>UND</t>
  </si>
  <si>
    <t>LIMPEZA GERAL</t>
  </si>
  <si>
    <t>M²</t>
  </si>
  <si>
    <t>GEFIO</t>
  </si>
  <si>
    <t>Valor Unit
com BDI</t>
  </si>
  <si>
    <t>FUNDO SELADOR ACRÍLICO, APLICAÇÃO MANUAL EM PAREDE, UMA DEMÃO. AF_04/2023</t>
  </si>
  <si>
    <t>FUNDO SELADOR ACRÍLICO, APLICAÇÃO MANUAL EM TETO, UMA DEMÃO. AF_04/2023</t>
  </si>
  <si>
    <t>LIXAMENTO DE MADEIRA PARA APLICAÇÃO DE FUNDO OU PINTURA. AF_01/2021</t>
  </si>
  <si>
    <t>PINTURA TINTA DE ACABAMENTO (PIGMENTADA) ESMALTE SINTÉTICO ACETINADO EM MADEIRA, 2 DEMÃOS. AF_01/2021</t>
  </si>
  <si>
    <t>RETIRADA PAPEL DE PAREDE</t>
  </si>
  <si>
    <t>REMOÇÃO DE SOLEIRA DE MÁRMORE OU GRANITO</t>
  </si>
  <si>
    <t>IMPERMEABILIZAÇÃO DE SUPERFÍCIE COM MANTA ASFÁLTICA, UMA CAMADA, INCLUSIVE APLICAÇÃO DE PRIMER ASFÁLTICO, E=3MM. AF  06/2018</t>
  </si>
  <si>
    <t>TRATAMENTO DE RALO OU PONTO EMERGENTE COM ARGAMASSA POLIMÉRICA / MEMBRANA ACRÍLICA REFORÇADO COM VÉU DE POLIÉSTER (MAV). AF 06/2018</t>
  </si>
  <si>
    <t>IMPERMEABILIZAÇÃO DE SUPERFÍCIE COM ARGAMASSA POLIMÉRICA / MEMBRANA ACRÍLICA, 4 DEMÃOS, REFORÇADA COM VÉU DE POLIÉSTER (MAV). AF  06/2018</t>
  </si>
  <si>
    <t>PISO VINÍLICO SEMI-FLEXÍVEL EM PLACAS, PADRÃO LISO, ESPESSURA 3,2 MM, FIXADO COM COLA. AF  09/2020</t>
  </si>
  <si>
    <t>REGULARIZAÇÃO DE BASE PARA APLICAÇÃO DE REVESTIMENTO DE PISO</t>
  </si>
  <si>
    <t>RODAPÉ EM POLIESTIRENO, ALTURA 10CM</t>
  </si>
  <si>
    <t>SIFÃO DO TIPO GARRAFA/COPO EM PVC 1.1/4  X 1.1/2- FORNECIMENTO E INSTALAÇÃO. AF 01/2020</t>
  </si>
  <si>
    <t>TORNEIRA CROMADA DE MESA, 1/2OU 3/4, PARA LAVATÓRIO, PADRÃO MÉDIO - FORNECIMENTO E INSTALAÇÃO. AF_01/2020</t>
  </si>
  <si>
    <t>PORTA DE CORRER EM MDF BRANCO COM PUXADOR TIPO CAVA</t>
  </si>
  <si>
    <t xml:space="preserve"> 00000029
TCE </t>
  </si>
  <si>
    <t xml:space="preserve"> 00000028
TCE </t>
  </si>
  <si>
    <t xml:space="preserve"> 00000030
TCE </t>
  </si>
  <si>
    <t xml:space="preserve"> 00000025
TCE </t>
  </si>
  <si>
    <t xml:space="preserve"> 00000026
TCE </t>
  </si>
  <si>
    <t xml:space="preserve"> 00000024
TCE </t>
  </si>
  <si>
    <t xml:space="preserve"> 00000023
TCF </t>
  </si>
  <si>
    <t xml:space="preserve"> 00000008
TCE </t>
  </si>
  <si>
    <t xml:space="preserve"> 00000009
TCE </t>
  </si>
  <si>
    <t xml:space="preserve">00000056
TCE </t>
  </si>
  <si>
    <t>RECOLOCAÇÃO DE FOLHAS DE PORTA DE MADEIRA LEVE OU MÉDIA DE 80CM DE LARGURA, CONSIDERANDO REAPROVEITAMENTO DO MATERIAL. AF 12/2019</t>
  </si>
  <si>
    <t>DEMOLIÇÃO DE REVESTIMENTO CERÂMICO, DE FORMA MANUAL, SEM REAPROVEITAMENTO. AF  12/2017</t>
  </si>
  <si>
    <t>REMOÇÃO DE PORTAS, DE FORMA MANUAL, SEM REAPROVEITAMENTO. AF  12/2017</t>
  </si>
  <si>
    <t>INSTALAÇÃO DE VIDRO TEMPERADO, E = 8 MM, ENCAIXADO EM PERFIL U. AF 01/2021  P</t>
  </si>
  <si>
    <t>CABO DE COBRE FLEXÍVEL ISOLADO, 2,5 MM², ANTI-CHAMA 450/750 V, PARA CIRCUITOS TERMINAIS - FORNECIMENTO E INSTALAÇÃO. AF  12/2015</t>
  </si>
  <si>
    <t>INTERRUPTOR SIMPLES (2 MÓDULOS) COM INTERRUPTOR PARALELO (1 MÓDULO), 10A/250V, INCLUINDO SUPORTE E PLACA - FORNECIMENTO E INSTALAÇÃO. AF 12/2015</t>
  </si>
  <si>
    <t>ALIZAR DE 5X1,5CM PARA PORTA FIXADO COM PREGOS, PADRÃO MÉDIO - FORNECIMENTO E INSTALAÇÃO. AF_12/2019</t>
  </si>
  <si>
    <t>CABO DE COBRE FLEXÍVEL ISOLADO, 4 MM², ANTI-CHAMA 450/750 V, PARA CIRCUITOS TERMINAIS - FORNECIMENTO E INSTALAÇÃO. AF  12/2015</t>
  </si>
  <si>
    <t>LUMINÁRIA TIPO PLAFON, DE SOBREPOR, COM 1 LÂMPADA LED DE 12/13W, SEM REATOR - FORNECIMENTO E INSTALAÇÃO. AF_02/2020</t>
  </si>
  <si>
    <t>PINTURA COM TINTA ALQUÍDICA DE ACABAMENTO (ESMALTE SINTÉTICO BRILHANTE) APLICADA A ROLO OU PINCEL SOBRE SUPERFÍCIES METÁLICAS (EXCETO PERFIL) EXECUTADO EM OBRA (POR DEMÃO). AF  01/2020</t>
  </si>
  <si>
    <t>APLICAÇÃO MANUAL DE PINTURA COM TINTA LÁTEX ACRÍLICA EM TETO, DUAS DEMÃOS. AF 06/2014</t>
  </si>
  <si>
    <t>REMOÇÃO DE LOUÇAS, DE FORMA MANUAL, SEM REAPROVEITAMENTO. AF  12/2017</t>
  </si>
  <si>
    <t>REMOÇÃO DE FORROS DE DRYWALL, PVC E FIBROMINERAL, DE FORMA MANUAL, SEM REAPROVEITAMENTO. AF  12/2017</t>
  </si>
  <si>
    <t>ACABAMENTOS PARA FORRO (MOLDURA EM DRYWALL, COM LARGURA DE 15 CM). AF 05/2017  P</t>
  </si>
  <si>
    <t>RODAPÉ CERÂMICO DE 7CM DE ALTURA COM PLACAS TIPO ESMALTADA EXTRA DE DIMENSÕES 45X45CM. AF  06/2014</t>
  </si>
  <si>
    <t>ENGATE FLEXÍVEL EM PLÁSTICO BRANCO, 1/2X 30CM - FORNECIMENTO E INSTALAÇÃO. AF 01/2020</t>
  </si>
  <si>
    <t>ENGATE FLEXÍVEL EM PLÁSTICO BRANCO, 1/2X 40CM - FORNECIMENTO E INSTALAÇÃO. AF 01/2020</t>
  </si>
  <si>
    <t>KIT DE ACESSORIOS PARA BANHEIRO EM METAL CROMADO, 5 PECAS, INCLUSO FIXAÇÃO. AF 01/2020</t>
  </si>
  <si>
    <t>ASSENTO SANITÁRIO CONVENCIONAL - FORNECIMENTO E INSTALACAO. AF  01/2020</t>
  </si>
  <si>
    <t>VÁLVULA EM PLÁSTICO 1PARA PIA, TANQUE OU LAVATÓRIO, COM OU SEM LADRÃO - FORNECIMENTO E INSTALAÇÃO. AF_01/2020</t>
  </si>
  <si>
    <t>BOISERIE / RODAMEIO EM GESSO PARA DECORAÇÃO DE PAREDE</t>
  </si>
  <si>
    <t>m</t>
  </si>
  <si>
    <t>FORNECIMENTO E APLICAÇÃO DE PAPEL DE PAREDE</t>
  </si>
  <si>
    <t>RASGO EM CONTRAPISO PARA RAMAIS/ DISTRIBUIÇÃO COM DIÂMETROS MENORES OU IGUAIS A 40 MM. AF_05/2015</t>
  </si>
  <si>
    <t>CHUMBAMENTO LINEAR EM CONTRAPISO PARA RAMAIS/DISTRIBUIÇÃO COM DIÂMETROS MENORES OU IGUAIS A 40 MM. AF_05/2015</t>
  </si>
  <si>
    <t>TOMADA DUPLA DE EMBUTIR NO PISO, 2P+T 20A, INCLUINDO SUPORTE , PLACA E CAIXA 4X4 - FORNECIMENTO E INSTALAÇÃO</t>
  </si>
  <si>
    <t>TRILHO ILUMINADO COM 3 PONTOS DIRECIONÁVEIS LED 4000K NEUTRO</t>
  </si>
  <si>
    <t>PERFIL LED DE EMBUTIR, LUZ NATURAL - COR NEUTRO, 8W - 5M</t>
  </si>
  <si>
    <t>ETAPA</t>
  </si>
  <si>
    <t>ITEM</t>
  </si>
  <si>
    <t>DESCRIÇÃO</t>
  </si>
  <si>
    <t>TOTAL</t>
  </si>
  <si>
    <t>Descrição / Local</t>
  </si>
  <si>
    <t>A</t>
  </si>
  <si>
    <t>B</t>
  </si>
  <si>
    <t>C</t>
  </si>
  <si>
    <t>D</t>
  </si>
  <si>
    <t>E</t>
  </si>
  <si>
    <t>F</t>
  </si>
  <si>
    <t>G</t>
  </si>
  <si>
    <t>horas/dia</t>
  </si>
  <si>
    <t>dias/mês</t>
  </si>
  <si>
    <t>meses</t>
  </si>
  <si>
    <t>Prazo da obra</t>
  </si>
  <si>
    <t>ASSESSORIA</t>
  </si>
  <si>
    <t>Comp. (m)</t>
  </si>
  <si>
    <t>ASSESSORIA - Parede 1</t>
  </si>
  <si>
    <t>ASSESSORIA - Parede 2</t>
  </si>
  <si>
    <t>ASSESSORIA - Parede 3</t>
  </si>
  <si>
    <t>ASSESSORIA - Parede 4</t>
  </si>
  <si>
    <t>Larg. (m)</t>
  </si>
  <si>
    <t>Altura (m)</t>
  </si>
  <si>
    <t>ASSESSORIA - abertura de porta para o corredor</t>
  </si>
  <si>
    <t>RECEPÇÃO</t>
  </si>
  <si>
    <t>DEPÓSITO</t>
  </si>
  <si>
    <t>RECEPÇÃO - Parede 1</t>
  </si>
  <si>
    <t>Quant. (m)</t>
  </si>
  <si>
    <t>RECEPÇÃO - PISO</t>
  </si>
  <si>
    <t>RECEPÇÃO - PAREDE 1 e 4 - rodapé</t>
  </si>
  <si>
    <t>RECEPÇÃO - PAREDE 2 e 3 - rodapé</t>
  </si>
  <si>
    <t>PORTA - ASSESSORIA/CORREDOR</t>
  </si>
  <si>
    <t>PORTA - ASSESSORIA/RECEPÇÃO</t>
  </si>
  <si>
    <t>Área (m²)</t>
  </si>
  <si>
    <t>RECEPÇÃO - Parede 2</t>
  </si>
  <si>
    <t>RECEPÇÃO - Parede 3</t>
  </si>
  <si>
    <t>RECEPÇÃO - Parede 4</t>
  </si>
  <si>
    <t>RECEPÇÃO - Descontos portas</t>
  </si>
  <si>
    <t>DEPÓSITO - Parede 1</t>
  </si>
  <si>
    <t>DEPÓSITO - Parede 2</t>
  </si>
  <si>
    <t>DEPÓSITO - Desconto porta</t>
  </si>
  <si>
    <t>Nova porta - ASSESSORIA/CORREDOR</t>
  </si>
  <si>
    <t>RECEPÇÃO - furos de luminárias</t>
  </si>
  <si>
    <t>RECEPÇÃO - Parede 1 - Desconto porta</t>
  </si>
  <si>
    <t>REUNIÃO - Parede TV</t>
  </si>
  <si>
    <t>REUNIÃO - Parede COPA</t>
  </si>
  <si>
    <t>CHEFIA - Parede 1</t>
  </si>
  <si>
    <t>CHEFIA - Parede 2</t>
  </si>
  <si>
    <t>CHEFIA - Parede 3</t>
  </si>
  <si>
    <t>CHEFIA - Desconto Janela - Parede 3</t>
  </si>
  <si>
    <t>ASSESSORIA - Parede REUNIÃO-CHEFIA</t>
  </si>
  <si>
    <t>ASSESSORIA - Parede 7 - Vertical 1</t>
  </si>
  <si>
    <t>ASSESSORIA - Parede 7 - Vertical 2</t>
  </si>
  <si>
    <t>ASSESSORIA - Parede 7 - Horizontal</t>
  </si>
  <si>
    <t>CHEFIA - Parede 6 - Vertical 1</t>
  </si>
  <si>
    <t>CHEFIA - Parede 6 - Vertical 2</t>
  </si>
  <si>
    <t>CHEFIA - Parede 6 - Horizontal</t>
  </si>
  <si>
    <t>ASSESSORIA/RECEPÇÃO</t>
  </si>
  <si>
    <t>ASSESSORIA/CORREDOR</t>
  </si>
  <si>
    <t>Pontos</t>
  </si>
  <si>
    <t>m/ponto</t>
  </si>
  <si>
    <t>Pontos de tomadas paredes</t>
  </si>
  <si>
    <t>Pontos interruptores 1módulo</t>
  </si>
  <si>
    <t>Pontos interruptores 2 módulos</t>
  </si>
  <si>
    <t>ASSESSORIA - LUMINÁRIAS TETO</t>
  </si>
  <si>
    <t>ASSESSORIA - LED ARMÁRIOS</t>
  </si>
  <si>
    <t>REUNIÃO - LUMINÁRIAS TETO</t>
  </si>
  <si>
    <t>REUNIÃO - LED ARMÁRIOS</t>
  </si>
  <si>
    <t>CHEFIA - LUMINÁRIAS TETO</t>
  </si>
  <si>
    <t>RECEPÇÃO - LUMINÁRIAS TETO</t>
  </si>
  <si>
    <t>DEPÓSITO - LUMINÁRIA TETO</t>
  </si>
  <si>
    <t>DEPÓSITO - LED ARMÁRIO</t>
  </si>
  <si>
    <t>REUNIÃO</t>
  </si>
  <si>
    <t>CHEFIA</t>
  </si>
  <si>
    <t>REUNIÃO (1 para tv)</t>
  </si>
  <si>
    <t>ASSESSORIA - PORTA FECHADA  (DOIS LADOS)</t>
  </si>
  <si>
    <t>RECEPÇÃO - PAREDE 4</t>
  </si>
  <si>
    <t>ASSESSORIA COMPLETA</t>
  </si>
  <si>
    <t>REUNIÃO - DESCONTOS JANELAS</t>
  </si>
  <si>
    <t>CHEFIA - PAREDE 1 - PAPEL PICADO</t>
  </si>
  <si>
    <t>CHEFIA - PAREDE 2 - PAPEL PICADO</t>
  </si>
  <si>
    <t>RECEPÇÃO - PAREDES 2 e 3</t>
  </si>
  <si>
    <t>RECEPÇÃO - DESCONTOS PORTAS</t>
  </si>
  <si>
    <t>DEPÓSITO - PAREDES 1 e 4</t>
  </si>
  <si>
    <t>DEPÓSITO - PAREDES 2 e 3</t>
  </si>
  <si>
    <t>CORREDOR</t>
  </si>
  <si>
    <t>ASSESSORIA COMPLETA (REUNIÃO E CHEFIA)</t>
  </si>
  <si>
    <t>Lados</t>
  </si>
  <si>
    <t>VISTAS VERTICAIS DAS PORTAS</t>
  </si>
  <si>
    <t>VISTAS HORIZONTAIS DAS PORTAS</t>
  </si>
  <si>
    <t>BATENTES VERTICAIS DAS PORTAS</t>
  </si>
  <si>
    <t>BATENTES HORIZONTAIS DAS PORTAS</t>
  </si>
  <si>
    <t>SALA DE REUNIÃO</t>
  </si>
  <si>
    <t>CHEFIA ASSESSORIA</t>
  </si>
  <si>
    <t>REMOÇÃO DE INTERRUPTORES/TOMADAS ELÉTRICAS, DE FORMA MANUAL, SEM REAPROVEITAMENTO. AF  12/2017</t>
  </si>
  <si>
    <t>REMOÇÃO DE CHAPAS E PERFIS DE DRYWALL, DE FORMA MANUAL, SEM REAPROVEITAMENTO. AF  12/2017</t>
  </si>
  <si>
    <t>FORRO EM DRYWALL, PARA AMBIENTES COMERCIAIS, INCLUSIVE ESTRUTURA DE FIXAÇÃO. AF  05/2017  P</t>
  </si>
  <si>
    <t xml:space="preserve"> 5.13</t>
  </si>
  <si>
    <t xml:space="preserve"> 5.14</t>
  </si>
  <si>
    <t>ELETRODUTO FLEXÍVEL CORRUGADO REFORÇADO, PVC, DN 25 MM (3/4"), PARA CIRCUITOS TERMINAIS, INSTALADO EM PAREDE - FORNECIMENTO E INSTALAÇÃO. AF  12/2015</t>
  </si>
  <si>
    <t xml:space="preserve"> 7.30</t>
  </si>
  <si>
    <t xml:space="preserve"> 7.31</t>
  </si>
  <si>
    <t xml:space="preserve"> 7.32</t>
  </si>
  <si>
    <t xml:space="preserve"> 7.33</t>
  </si>
  <si>
    <t xml:space="preserve"> 7.34</t>
  </si>
  <si>
    <t xml:space="preserve"> 7.35</t>
  </si>
  <si>
    <t xml:space="preserve"> 7.36</t>
  </si>
  <si>
    <t>ÉLETRICA - Pontos de tomadas paredes</t>
  </si>
  <si>
    <t>ÉLETRICA - Pontos de tomadas piso</t>
  </si>
  <si>
    <t>ÉLETRICA - Pontos interruptores 1módulo</t>
  </si>
  <si>
    <t>ÉLETRICA - Pontos interruptores 2 módulos</t>
  </si>
  <si>
    <t>ÉLETRICA - ASSESSORIA - LUMINÁRIAS TETO</t>
  </si>
  <si>
    <t>ÉLETRICA - ASSESSORIA - LED ARMÁRIOS</t>
  </si>
  <si>
    <t>ÉLETRICA - REUNIÃO - LUMINÁRIAS TETO</t>
  </si>
  <si>
    <t>ÉLETRICA - REUNIÃO - LED ARMÁRIOS</t>
  </si>
  <si>
    <t>ÉLETRICA - CHEFIA - LUMINÁRIAS TETO</t>
  </si>
  <si>
    <t>ÉLETRICA - RECEPÇÃO - LUMINÁRIAS TETO</t>
  </si>
  <si>
    <t>ÉLETRICA - DEPÓSITO - LUMINÁRIA TETO</t>
  </si>
  <si>
    <t>ÉLETRICA - DEPÓSITO - LED ARMÁRIO</t>
  </si>
  <si>
    <t>LÓGICA - ASSESSORIA - PISO</t>
  </si>
  <si>
    <t>LÓGICA - ASSESSORIA - PAREDE</t>
  </si>
  <si>
    <t>LÓGICA - CHEFIA</t>
  </si>
  <si>
    <t>LÓGICA - REUNIÃO</t>
  </si>
  <si>
    <t>ELÉTRICA - ASSESSORIA - Instalação de tomadas piso estação de trabalho central</t>
  </si>
  <si>
    <t>LÓGICA - ASSESSORIA - Instalação de pontos no piso estação de trabalho central</t>
  </si>
  <si>
    <t xml:space="preserve"> 8.6</t>
  </si>
  <si>
    <t xml:space="preserve"> 8.7</t>
  </si>
  <si>
    <t xml:space="preserve"> 8.8</t>
  </si>
  <si>
    <t xml:space="preserve"> 8.9</t>
  </si>
  <si>
    <t xml:space="preserve"> 8.10</t>
  </si>
  <si>
    <t xml:space="preserve"> 8.11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</si>
  <si>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</si>
  <si>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</si>
  <si>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</si>
  <si>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</si>
  <si>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</si>
  <si>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>BIBLIOTECA</t>
  </si>
  <si>
    <t>Àrea(m²)</t>
  </si>
  <si>
    <t>BIBLIOTECA - PAREDE 1 e 3</t>
  </si>
  <si>
    <t>BIBLIOTECA - PAREDE 2 e 4</t>
  </si>
  <si>
    <t>TOTAL DE ENTULHO GERADO= 25,00 = 5 x 5m³</t>
  </si>
  <si>
    <t>REVESTIMENTO CERÂMICO PARA PAREDES INTERNAS COM PLACAS TIPO ESMALTADA EXTRA DE DIMENSÕES 20X20 CM APLICADAS EM AMBIENTES DE ÁREA MAIOR QUE 5 M² NA ALTURA INTEIRA DAS PAREDES. AF 06/2014</t>
  </si>
  <si>
    <t>ELETRODUTO FLEXÍVEL CORRUGADO REFORÇADO, PVC, DN 20 MM (1/2"), PARA CIRCUITOS TERMINAIS, INSTALADO EM PAREDE - FORNECIMENTO E INSTALAÇÃO. AF  12/2015</t>
  </si>
  <si>
    <t>ELETRODUTO FLEXÍVEL CORRUGADO REFORÇADO, PVC, DN 20 MM (1/2"), PARA CIRCUITOS TERMINAIS, INSTALADO EM FORRO - FORNECIMENTO E INSTALAÇÃO. AF  12/2015</t>
  </si>
  <si>
    <t>ELETRODUTO FLEXÍVEL CORRUGADO REFORÇADO, PVC, DN 25 MM (3/4"), PARA CIRCUITOS TERMINAIS, INSTALADO EM FORRO - FORNECIMENTO E INSTALAÇÃO. AF  12/2015</t>
  </si>
  <si>
    <t>APLICAÇÃO MANUAL DE PINTURA COM TINTA LÁTEX ACRÍLICA EM PAREDES, DUAS DEMÃOS. AF  06/2014</t>
  </si>
  <si>
    <t>TOMADA PARA TELEFONE RJ11 - FORNECIMENTO E INSTALAÇÃO. AF  11/2019</t>
  </si>
  <si>
    <t xml:space="preserve"> 5.15</t>
  </si>
  <si>
    <t>Unidades</t>
  </si>
  <si>
    <t>REMOÇÃO DE LUMINÁRIAS, DE FORMA MANUAL, SEM REAPROVEITAMENTO. AF  12/2017</t>
  </si>
  <si>
    <t>Área total da obra</t>
  </si>
  <si>
    <t>REMOÇÃO DE DIVISÓRIA TIPO DIVILUX/NAVAL</t>
  </si>
  <si>
    <t>ok</t>
  </si>
  <si>
    <t>Valor
Unit</t>
  </si>
  <si>
    <t>SALA CONSELHEIRO</t>
  </si>
  <si>
    <t>LAVABO</t>
  </si>
  <si>
    <t>BIBLIOTECA - PISO</t>
  </si>
  <si>
    <t>BIBLIOTECA - PAREDE 1 e 4 - rodapé</t>
  </si>
  <si>
    <t>BIBLIOTECA - PAREDE 2 e 3 - rodapé</t>
  </si>
  <si>
    <t>SALA CONSELHEIRO - PISO</t>
  </si>
  <si>
    <t>SALA CONSELHEIRO - PAREDE 1 e 4 - rodapé</t>
  </si>
  <si>
    <t>SALA CONSELHEIRO - PAREDE 2 e 3 - rodapé</t>
  </si>
  <si>
    <t>LAVABO - PISO</t>
  </si>
  <si>
    <t>OK</t>
  </si>
  <si>
    <t>SALA CONSELHEIRO - PAREDE 1 e 3</t>
  </si>
  <si>
    <t>SALA CONSELHEIRO - PAREDE 2 e 4</t>
  </si>
  <si>
    <t>LAVABO - PAREDE 1 e 3</t>
  </si>
  <si>
    <t>LAVABO - PAREDE 1 e 4</t>
  </si>
  <si>
    <t>Pontos novos de tomadas piso</t>
  </si>
  <si>
    <t>SALA DO CONSELHEIRO - PAREDE 1 e 3</t>
  </si>
  <si>
    <t>LAVABO - PAREDE 2 e 4</t>
  </si>
  <si>
    <t>00180/ORSE</t>
  </si>
  <si>
    <t>Assentamento de divisórias</t>
  </si>
  <si>
    <t>m2</t>
  </si>
  <si>
    <t>09253/ORSE</t>
  </si>
  <si>
    <t>Assentamento de porta para divisória</t>
  </si>
  <si>
    <t>Un</t>
  </si>
  <si>
    <t>00023/ORSE</t>
  </si>
  <si>
    <t>Demolição de divisórias tipo divilux</t>
  </si>
  <si>
    <t>12631/ORSE</t>
  </si>
  <si>
    <t>Retirada de divisória tipo naval</t>
  </si>
  <si>
    <t>DPM010</t>
  </si>
  <si>
    <t>Desmontagem de divisória.</t>
  </si>
  <si>
    <t>99804</t>
  </si>
  <si>
    <t>LIMPEZA DE PISO CERÂMICO OU PORCELANATO UTILIZANDO DETERGENTE NEUTRO E ESCOVAÇÃO MANUAL. AF_04/2019</t>
  </si>
  <si>
    <t>M2</t>
  </si>
  <si>
    <t>02335/ORSE</t>
  </si>
  <si>
    <t>Regularização c/ argamassa c/ adesivo resistente</t>
  </si>
  <si>
    <t>RSA020</t>
  </si>
  <si>
    <t>Camada fina de argamassa autonivelante de cimento.</t>
  </si>
  <si>
    <t>98688/SINAPI</t>
  </si>
  <si>
    <t>Rodapé em poliestireno, altura 5 cm. af_09/2020</t>
  </si>
  <si>
    <t>BOISERIE</t>
  </si>
  <si>
    <t>ORCAFASCIO</t>
  </si>
  <si>
    <t>PAPEL DE PAREDE</t>
  </si>
  <si>
    <t>RDP010</t>
  </si>
  <si>
    <t>Revestimento mural com papel de vinila.</t>
  </si>
  <si>
    <t>ELETROCALHA</t>
  </si>
  <si>
    <t>00762/ORSE</t>
  </si>
  <si>
    <t>Fornecimento e instalação de eletrocalha perfurada 100 x 50 x 3000 mm (ref. mopa ou similar)</t>
  </si>
  <si>
    <t>IEO010</t>
  </si>
  <si>
    <t>Canalização.</t>
  </si>
  <si>
    <t>EMASSAMENTO TETO, DUAS DEMÃOS</t>
  </si>
  <si>
    <t>RODAPÉ</t>
  </si>
  <si>
    <t>Fechamento abertura de porta ASSESSORIA/CORREDOR</t>
  </si>
  <si>
    <t xml:space="preserve"> 3.17</t>
  </si>
  <si>
    <t xml:space="preserve"> 3.18</t>
  </si>
  <si>
    <t xml:space="preserve"> 3.19</t>
  </si>
  <si>
    <t xml:space="preserve"> 3.20</t>
  </si>
  <si>
    <t xml:space="preserve"> 3.23</t>
  </si>
  <si>
    <t xml:space="preserve"> 3.24</t>
  </si>
  <si>
    <t xml:space="preserve"> 3.25</t>
  </si>
  <si>
    <t>REMOÇÃO DE REVESTIMENTO DE PISO VINÍLICO / CARPETE</t>
  </si>
  <si>
    <t>Àrea total do piso vinílico a ser instalado</t>
  </si>
  <si>
    <t>9.8/TCE-AM</t>
  </si>
  <si>
    <t>5.1/TCE-AM</t>
  </si>
  <si>
    <t>ALÇAPÃO</t>
  </si>
  <si>
    <t>03642/ORSE</t>
  </si>
  <si>
    <t>Lona plástica preta</t>
  </si>
  <si>
    <t xml:space="preserve">ALÇAPÃO EM AÇO PARA FORRO,  40X40CM </t>
  </si>
  <si>
    <t xml:space="preserve"> 4.8</t>
  </si>
  <si>
    <t>4.8.1/TCE-AM</t>
  </si>
  <si>
    <t>Und.</t>
  </si>
  <si>
    <t>SALA DO CONSELHEIRO</t>
  </si>
  <si>
    <t>LONA PLÁSTICA PRETA</t>
  </si>
  <si>
    <t xml:space="preserve"> 9.7</t>
  </si>
  <si>
    <t>Área estimada para proteção</t>
  </si>
  <si>
    <t>02450/ORSE</t>
  </si>
  <si>
    <t>13197/ORSE</t>
  </si>
  <si>
    <t>00026/ORSE</t>
  </si>
  <si>
    <t>14.1/TCE-AM</t>
  </si>
  <si>
    <t>7.1/TCE-AM</t>
  </si>
  <si>
    <t>10971/ORSE</t>
  </si>
  <si>
    <t>08204/TCE-AM</t>
  </si>
  <si>
    <t>00000050</t>
  </si>
  <si>
    <t>Em:</t>
  </si>
  <si>
    <t>ASSESSORIA (REUNIÃO +CHEFIA) - Parede 1 e 3</t>
  </si>
  <si>
    <t>ASSESSORIA (REUNIÃO +CHEFIA) - Parede 2 e 4</t>
  </si>
  <si>
    <t>ASSESSORIA (REUNIÃO + CHEFIA)</t>
  </si>
  <si>
    <t>DR060
CYPE_GEFIO</t>
  </si>
  <si>
    <t>98688
SINAPI-TCE</t>
  </si>
  <si>
    <t>M³</t>
  </si>
  <si>
    <t>Obra:</t>
  </si>
  <si>
    <t>Total:</t>
  </si>
  <si>
    <t>MEMÓRIA DE CÁLCULO - GAB. CONS. ÉRICO</t>
  </si>
  <si>
    <t>APLICAÇÃO E LIXAMENTO DE MASSA LÁTEX EM PAREDES, DUAS DEMÃOS. AF 06/2014</t>
  </si>
  <si>
    <t>ESTIMATIVA DE ÁREA PARA CORRIGIR IMPERFEIÇÕES (15% DA ÁREA TOTAL)</t>
  </si>
  <si>
    <t>Área(m²)</t>
  </si>
  <si>
    <t>GAB. CONS. ÉRICO
Em: 08/08/2023</t>
  </si>
  <si>
    <t>Parede - REUNIÃO/CHEFIA</t>
  </si>
  <si>
    <t>Parede - REUNIÃO-CHEFIA/ASSSESSORIA</t>
  </si>
  <si>
    <t>Parede - REUNIÃO/ASSSESSORIA</t>
  </si>
  <si>
    <t>Parede - CHEFIA/ASSSESSORIA</t>
  </si>
  <si>
    <t>ARMÁRIO PLANEJADO DEPÓSITO</t>
  </si>
  <si>
    <t>TRIBUNAL DE CONTAS DO ESTADO DO AMAZONAS</t>
  </si>
  <si>
    <t>Comissão de Gestão e Fiscalização de Obras</t>
  </si>
  <si>
    <t xml:space="preserve">ORÇAMENTO SINTÉTICO - 2º TERMO ADITIVO
</t>
  </si>
  <si>
    <t>DEMOLIÇÃO DE RODAPÉ CERÂMICO, DE FORMA MANUAL, SEM REAPROVEITAMENTO. AF  12/2017</t>
  </si>
  <si>
    <t>REMOÇÃO DE CABOS ELÉTRICOS, DE FORMA MANUAL, SEM REAPROVEITAMENTO. AF  12/2017</t>
  </si>
  <si>
    <t>INSTALAÇÃO DE REFORÇO METÁLICO EM PAREDE DRYWALL. AF  06/2017</t>
  </si>
  <si>
    <t>REMOÇÃO E REMONTAGEM DE DIFUSOR DE DUTOS DE AR-CONDICIONADO</t>
  </si>
  <si>
    <t>00023/ORSE_GEFIO</t>
  </si>
  <si>
    <t>MEMÓRIA DE CÁLCULO - REFORMA SETIN</t>
  </si>
  <si>
    <t>CLIMATIZAÇÃO</t>
  </si>
  <si>
    <t>10.1</t>
  </si>
  <si>
    <t>10.2</t>
  </si>
  <si>
    <t>10.3</t>
  </si>
  <si>
    <t>Divisórias - SETIN/DICOP</t>
  </si>
  <si>
    <t>Divisória 1 - Copa / Salão 1</t>
  </si>
  <si>
    <t>Divisória 2 - Copa / Salão 1</t>
  </si>
  <si>
    <t>Divisória - Copa / Salão 2</t>
  </si>
  <si>
    <t>Divisória - Salão 1 / Salão 2</t>
  </si>
  <si>
    <t>DINAR</t>
  </si>
  <si>
    <t>DIPROJ</t>
  </si>
  <si>
    <t>SALÃO 1 / CORREDOR</t>
  </si>
  <si>
    <t>LAB</t>
  </si>
  <si>
    <t>IMP</t>
  </si>
  <si>
    <t>SL REUNIÃO</t>
  </si>
  <si>
    <t>Coef.</t>
  </si>
  <si>
    <t>Divisória 1 - DINAR / SALÃO 2</t>
  </si>
  <si>
    <t>Divisória 2 - DINAR / SALÃO 2</t>
  </si>
  <si>
    <t>Divisória - DIPROJ / DINAR</t>
  </si>
  <si>
    <t>Divisória - DIPROJ / SALÃO 2</t>
  </si>
  <si>
    <t>Divisória - LAB / IMP</t>
  </si>
  <si>
    <t>Divisória - IMP / SL REUNIÃO</t>
  </si>
  <si>
    <t>Divisória - IMP / SALÃO 1</t>
  </si>
  <si>
    <t>Divisória - SL REUNIÃO / COPA</t>
  </si>
  <si>
    <t>Divisória - SL REUNIÃO / SALÃO 1</t>
  </si>
  <si>
    <t>Divisória - COPA / SALÃO 1 e 2</t>
  </si>
  <si>
    <t>M3</t>
  </si>
  <si>
    <t xml:space="preserve"> 3.21</t>
  </si>
  <si>
    <t xml:space="preserve"> 3.22</t>
  </si>
  <si>
    <t xml:space="preserve"> 3.26</t>
  </si>
  <si>
    <t xml:space="preserve"> 3.27</t>
  </si>
  <si>
    <t xml:space="preserve"> 3.28</t>
  </si>
  <si>
    <t>Divisória - IMP / SALÃO 2</t>
  </si>
  <si>
    <t>Divisória - SL REUNIÃO / SALÃO 2</t>
  </si>
  <si>
    <t>Divisória - LAB / SALÃO 1 e 2</t>
  </si>
  <si>
    <t xml:space="preserve"> 4.9</t>
  </si>
  <si>
    <t>COPA</t>
  </si>
  <si>
    <t>SALÃO 1</t>
  </si>
  <si>
    <t>SALÃO 2</t>
  </si>
  <si>
    <t>PORTA - RECEPÇÃO/BIBLIOTECA</t>
  </si>
  <si>
    <t>PORTA - RECEPÇÃO/SALA CONSELHEIRO</t>
  </si>
  <si>
    <t>PORTA - RECEPÇÃO/DEPÓSITO</t>
  </si>
  <si>
    <t>ASSESSORIA - PAREDE 1 - H1</t>
  </si>
  <si>
    <t>ASSESSORIA - PAREDE 2 - V1</t>
  </si>
  <si>
    <t>ASSESSORIA - PAREDE 3 - H2</t>
  </si>
  <si>
    <t>ASSESSORIA - PAREDE 4 - H3</t>
  </si>
  <si>
    <t>ASSESSORIA - PAREDE 5 - H4</t>
  </si>
  <si>
    <t>REUNIÃO - PAREDE 2 - H1</t>
  </si>
  <si>
    <t>REUNIÃO - PAREDE 3 - V2</t>
  </si>
  <si>
    <t>REUNIÃO - PAREDE 1 (JANELAS) - V1</t>
  </si>
  <si>
    <t>SALA DO CONSELHEIRO - PAREDE 2 e 4</t>
  </si>
  <si>
    <t xml:space="preserve"> 9.8</t>
  </si>
  <si>
    <t>ARMÁRIO PLANEJADO DO DEPÓSITO</t>
  </si>
  <si>
    <t>Pontos novos de tomadas paredes</t>
  </si>
  <si>
    <t>Pontos interruptores 1 módulo</t>
  </si>
  <si>
    <t>04989/ORSE</t>
  </si>
  <si>
    <t>3.22-GEFIO_TCE-AM</t>
  </si>
  <si>
    <t>PORTA DE CORRER 4 FOLHAS COM BANDEIRAS, EM VIDRO COM PELÍCULA JATEADA E ALUMÍNIO BRANCO - 2,92X3,00M - FORNECIMENTO E INSTALAÇÃO</t>
  </si>
  <si>
    <t>PORTA PIVOTANTE COM BANDEIRA, EM VIDRO COM PELÍCULA JATEADA E ALUMÍNIO BRANCO - 0,72X3,00M - FORNECIMENTO E INSTALAÇÃO</t>
  </si>
  <si>
    <t>3.23-GEFIO_TCE-AM</t>
  </si>
  <si>
    <t>LUMINÁRIA PAINEL LED MODULAR DE EMBUTIR, 45W 312x1250, 4000K - FORNECIMENTO E INSTALAÇÃO</t>
  </si>
  <si>
    <t>LUMINÁRIA DUPLA  2XPAR 20 LED DE EMBUTIR, 5.5W, 4000K BIVOLT - BRANCO NEUTRO - FORNECIMENTO E INSTALAÇÃO</t>
  </si>
  <si>
    <t>7.35-GEFIO-TCE/AM</t>
  </si>
  <si>
    <t>7.36-TCE/AM-GEFIO</t>
  </si>
  <si>
    <t>7.34-TCE/AM-GEFIO</t>
  </si>
  <si>
    <t>9.5-TCE/AM-GEFIO</t>
  </si>
  <si>
    <t xml:space="preserve"> 3.29</t>
  </si>
  <si>
    <t>89865/SINAPI</t>
  </si>
  <si>
    <t xml:space="preserve">3.27-TCE/AM-GEFIO </t>
  </si>
  <si>
    <t>MONTAGEM DE DIVISÓRIA COM APROVEITAMENTO DE MATERIAL</t>
  </si>
  <si>
    <t>REMANEJAMENTO DE FORROS (PACOTE / MODULADOS) - EXECUÇÃO</t>
  </si>
  <si>
    <t>4.9-TCE/AM-GEFIO</t>
  </si>
  <si>
    <t xml:space="preserve"> 7.37</t>
  </si>
  <si>
    <t xml:space="preserve"> 7.38</t>
  </si>
  <si>
    <t xml:space="preserve"> 7.40</t>
  </si>
  <si>
    <t xml:space="preserve"> 7.41</t>
  </si>
  <si>
    <t>FORNECIMENTO E INSTALAÇÃO DE CANALETA SISTEMA "X" 50X20MM, COM DIVISÓRIA</t>
  </si>
  <si>
    <t>7.40-TCE/AM-GEFIO</t>
  </si>
  <si>
    <t>7.41-TCE/AM-GEFIO</t>
  </si>
  <si>
    <t>FORNECIMENTO E INSTALAÇÃO DE CANALETA SISTEMA "X" 110X20MM, COM DIVISÓRIA</t>
  </si>
  <si>
    <t>REMOÇÃO E REINSTALAÇÃO DE LUMINÁRIAS COM APROVEITAMENTO DE MATERIAL</t>
  </si>
  <si>
    <t>7.37-TCE/AM-GEFIO</t>
  </si>
  <si>
    <t>CONECTOR / TOMADA FEMEA RJ 45, CATEGORIA 6 (CAT 6) PARA CABOS</t>
  </si>
  <si>
    <t>ELETRICISTA</t>
  </si>
  <si>
    <t>AUXILIAR</t>
  </si>
  <si>
    <t>CAIXA DE SOBREPOR 3X3 C/ ESPELHO 2 SAÍDAS - RJ25/RJ11</t>
  </si>
  <si>
    <t>CONECTOR MACHO RJ 45, CATEGORIA 6 (CAT 6) PARA CABOS</t>
  </si>
  <si>
    <t>TOMADA DUPLA DE SOBREPOR PARA LÓGICA RJ-45, COMPLETA</t>
  </si>
  <si>
    <t>7.38-TCE/AM-GEFIO</t>
  </si>
  <si>
    <t>103292/SINAPI</t>
  </si>
  <si>
    <t>REMANEJAMENTO DE AR CONDICIONADO TIPO SPLIT CASSETE (TETO), INCLUSO RECARGA DE GÁS</t>
  </si>
  <si>
    <t>PERSIANAS ROLON, TIPO DOUBLE VISION, COR BRANCA - FORNECIMENTO E INSTALAÇÃO</t>
  </si>
  <si>
    <t>TUBO EM COBRE FLEXÍVEL, DN 5/8", COM ISOLAMENTO, INSTALADO EM FORRO, PARA RAMAL DE ALIMENTAÇÃO DE AR CONDICIONADO, INCLUSO FIXADOR. AF_11/2021</t>
  </si>
  <si>
    <t>TUBO, PVC, SOLDÁVEL, DN 25MM, INSTALADO EM DRENO DE AR-CONDICIONADO COM ISOLAMENTO - FORNECIMENTO E INSTALAÇÃO.</t>
  </si>
  <si>
    <t>10.2-TCE/AM-GEFIO</t>
  </si>
  <si>
    <t>CONJUNTO DE FERRAGENS, PARA PORTAS DIVISÓRIAS TIPO EUCATEX OU SIMILAR, FORNECIMENTO DE FECHADURA CILÍNDRICA, 3 DOBRADIÇAS DE LATÃO (3"X2 1/2"), COM PINOS BOLA E ANEIS DE LATÃO, LOCKWELL OU SIMILAR, NA COR PRETA (INSTALAÇÃO INCLUSA NO SERVIÇO DE DIVISÓRIAS)</t>
  </si>
  <si>
    <t>3.26-TCE/AM-GEFIO</t>
  </si>
  <si>
    <t>DIVISÓRIA PAINEL/VIDRO/VIDRO MSO/COLMEIA E=35MM - MONTANTE/RODAPE DUPLO AÇO GALV PINTADO - COLOCADA</t>
  </si>
  <si>
    <t>DIVISÓRIA PAINEL/PAINEL/VIDRO MSO/COLMEIA E=35MM - MONTANTE/RODAPE DUPLO AÇO GALV PINTADO - COLOCADA</t>
  </si>
  <si>
    <t>3.29-TCE/AM-GEFIO</t>
  </si>
  <si>
    <t>3.28-TCE/AM-GEFIO</t>
  </si>
  <si>
    <t>COEF</t>
  </si>
  <si>
    <t>Área estimada</t>
  </si>
  <si>
    <t>PORTA PINUS BRANCA DE ABRIR, 70/80CM, COMPLETA COM BATENTE, VISTAS, DOBRADIÇAS E FECHADURA - FORNECIMENTO E INSTALAÇÃO</t>
  </si>
  <si>
    <t>LUMINÁRIA TIPO SPOT DE EMBUTIR NA COR BRANCA PAR20 - LAMP 5,5W - 4000K</t>
  </si>
  <si>
    <t>CHEFIA / ASSESSORIA</t>
  </si>
  <si>
    <t>RECEPÇÃO / BIBLIOTECA</t>
  </si>
  <si>
    <t>RECEPÇÃO / DEPÓSITO</t>
  </si>
  <si>
    <t>RECEPÇÃO / SALA CONSELHEIRO</t>
  </si>
  <si>
    <t xml:space="preserve"> 7.39</t>
  </si>
  <si>
    <t xml:space="preserve"> 7.42</t>
  </si>
  <si>
    <t>7.37</t>
  </si>
  <si>
    <t>und</t>
  </si>
  <si>
    <t>Eletricista</t>
  </si>
  <si>
    <t>Auxiliar</t>
  </si>
  <si>
    <t>LUMINÁRIA TIPO SPOT DE EMBUTIR NA COR BRANCA PAR 20 - LAMP 5,5W - 4000K</t>
  </si>
  <si>
    <t>h</t>
  </si>
  <si>
    <t>7.39-TCE/AM-GEFIO</t>
  </si>
  <si>
    <t>3.24-TCE/AM-GEFIO</t>
  </si>
  <si>
    <t>Carpinteiro</t>
  </si>
  <si>
    <t>Ajudante</t>
  </si>
  <si>
    <t>Montador de estrutura</t>
  </si>
  <si>
    <t>bat</t>
  </si>
  <si>
    <t>porta</t>
  </si>
  <si>
    <t>guarni</t>
  </si>
  <si>
    <t>adesivo</t>
  </si>
  <si>
    <t>dobra</t>
  </si>
  <si>
    <t>epuma</t>
  </si>
  <si>
    <t>fecha</t>
  </si>
  <si>
    <t>selante</t>
  </si>
  <si>
    <t>PORTA PINUS BRANCA DE ABRIR, 70/80CM, COMPLETA COM BATENTE, VISTAS, DOBRADIÇAS, FECHADURA, ADESIVO, ESPUMA E SELANTE</t>
  </si>
  <si>
    <t>3.24.1-TCE/AM-GEFIO</t>
  </si>
  <si>
    <t>ESTAÇÕES DE TRABALHO EM MDF - 1,50X0,70M, PADRÃO SETIN - FORNECIMENTO E INSTALAÇÃO</t>
  </si>
  <si>
    <t xml:space="preserve"> 9.9</t>
  </si>
  <si>
    <t>FORNECIMENTO E INSTALAÇÃO DE CONECTOR RJ 45 FÊMEA CAT 6</t>
  </si>
  <si>
    <t>07164/ORSE</t>
  </si>
  <si>
    <t>11242/ORSE</t>
  </si>
  <si>
    <t xml:space="preserve"> 7.43</t>
  </si>
  <si>
    <t>FORNECIMENTO E INSTALAÇÃO DE CONECTOR RJ 45 MACHO CAT 6</t>
  </si>
  <si>
    <t>9.9-TCE/AM-GEFIO</t>
  </si>
  <si>
    <t>10.1-TCE/AM-GEFIO</t>
  </si>
  <si>
    <t>SETIN</t>
  </si>
  <si>
    <t>DICOP</t>
  </si>
  <si>
    <t>SETIN - SALÃO 1</t>
  </si>
  <si>
    <t>SETIN - SALÃO 2</t>
  </si>
  <si>
    <t>SETIN / DICOP</t>
  </si>
  <si>
    <t>Quant. SPLIT</t>
  </si>
  <si>
    <t>Metros / SPLIT</t>
  </si>
  <si>
    <t>SETIN / DICOP - SPLITs</t>
  </si>
  <si>
    <t>REGISTRO DE PRESSÃO BRUTO, LATÃO, ROSCÁVEL, 1/2", COM ACABAMENTO E CANOPLA CROMADOS - FORNECIMENTO E INSTALAÇÃO. AF 08/2021</t>
  </si>
  <si>
    <t>Comp.(m)</t>
  </si>
  <si>
    <t>SETIN - LAB</t>
  </si>
  <si>
    <t>SETIN - SL REUNIÃO</t>
  </si>
  <si>
    <t>SETIN - COPA</t>
  </si>
  <si>
    <t>SETIN - DINAR</t>
  </si>
  <si>
    <t>SETIN - DIPROJ</t>
  </si>
  <si>
    <t>SETIN - IMPRESSORA</t>
  </si>
  <si>
    <t>SETIN - IMPRESSORAS</t>
  </si>
  <si>
    <t>DICOP - ESTAÇÕES</t>
  </si>
  <si>
    <t>Estações</t>
  </si>
  <si>
    <t>SETIN - Iluminação</t>
  </si>
  <si>
    <t>Pontos/Estação</t>
  </si>
  <si>
    <t>SETIN - Novas estações -  SALÃO 1</t>
  </si>
  <si>
    <t>SETIN - Novas estações -  SALÃO 2</t>
  </si>
  <si>
    <t>SETIN -  IMPRESSORA</t>
  </si>
  <si>
    <t>SETIN -  SL REUNIÃO</t>
  </si>
  <si>
    <t>SETIN - novas estações- SALÃO 1</t>
  </si>
  <si>
    <t>SETIN - novas estações- SALÃO 2</t>
  </si>
  <si>
    <t>SETIN - DESCIDAS</t>
  </si>
  <si>
    <t>M/DESCIDA</t>
  </si>
  <si>
    <t>ESTAÇÕES</t>
  </si>
  <si>
    <t>PT/EST</t>
  </si>
  <si>
    <t>CONEC/PT</t>
  </si>
  <si>
    <t>SETIN - DIRPOJ</t>
  </si>
  <si>
    <t>PAREDE EM "Y" DIVIDE REUNIÃO/CHEFIA</t>
  </si>
  <si>
    <t>Coluna1</t>
  </si>
  <si>
    <t>DOIS LADOS DE PAREDE</t>
  </si>
  <si>
    <t>38,28 M2 PAREDE EM "Y"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</si>
</sst>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-[$R$-416]\ * #,##0.00_-;\-[$R$-416]\ * #,##0.00_-;_-[$R$-416]\ * &quot;-&quot;??_-;_-@_-"/>
  </numFmts>
  <fonts count="25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91">
    <xf numFmtId="0" fontId="0" fillId="0" borderId="0" xfId="0"/>
    <xf numFmtId="0" fontId="5" fillId="9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center" vertical="top" wrapText="1"/>
    </xf>
    <xf numFmtId="0" fontId="7" fillId="0" borderId="0" xfId="0" applyFont="1"/>
    <xf numFmtId="10" fontId="7" fillId="0" borderId="0" xfId="1" applyNumberFormat="1" applyFont="1"/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wrapText="1"/>
    </xf>
    <xf numFmtId="0" fontId="6" fillId="0" borderId="0" xfId="0" applyFont="1"/>
    <xf numFmtId="0" fontId="4" fillId="16" borderId="1" xfId="0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horizontal="right" vertical="top" wrapText="1"/>
    </xf>
    <xf numFmtId="4" fontId="5" fillId="12" borderId="1" xfId="0" applyNumberFormat="1" applyFont="1" applyFill="1" applyBorder="1" applyAlignment="1">
      <alignment horizontal="right" vertical="top" wrapText="1"/>
    </xf>
    <xf numFmtId="4" fontId="4" fillId="12" borderId="1" xfId="0" applyNumberFormat="1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right" vertical="top" wrapText="1"/>
    </xf>
    <xf numFmtId="0" fontId="10" fillId="17" borderId="2" xfId="6" applyFont="1" applyFill="1" applyBorder="1" applyAlignment="1">
      <alignment horizontal="center" vertical="center"/>
    </xf>
    <xf numFmtId="0" fontId="10" fillId="17" borderId="3" xfId="6" applyFont="1" applyFill="1" applyBorder="1"/>
    <xf numFmtId="0" fontId="11" fillId="17" borderId="3" xfId="6" applyFont="1" applyFill="1" applyBorder="1"/>
    <xf numFmtId="43" fontId="11" fillId="17" borderId="4" xfId="6" applyNumberFormat="1" applyFont="1" applyFill="1" applyBorder="1"/>
    <xf numFmtId="0" fontId="11" fillId="0" borderId="0" xfId="6" applyFont="1"/>
    <xf numFmtId="0" fontId="9" fillId="18" borderId="1" xfId="6" applyFont="1" applyFill="1" applyBorder="1" applyAlignment="1">
      <alignment horizontal="center"/>
    </xf>
    <xf numFmtId="0" fontId="12" fillId="0" borderId="0" xfId="6" applyFont="1"/>
    <xf numFmtId="0" fontId="2" fillId="0" borderId="1" xfId="6" applyBorder="1" applyAlignment="1">
      <alignment horizontal="center" vertical="center"/>
    </xf>
    <xf numFmtId="43" fontId="9" fillId="0" borderId="1" xfId="6" applyNumberFormat="1" applyFont="1" applyBorder="1" applyAlignment="1">
      <alignment vertical="center"/>
    </xf>
    <xf numFmtId="0" fontId="13" fillId="18" borderId="1" xfId="6" applyFont="1" applyFill="1" applyBorder="1" applyAlignment="1">
      <alignment horizontal="center" vertical="center"/>
    </xf>
    <xf numFmtId="0" fontId="12" fillId="0" borderId="0" xfId="6" applyFont="1" applyAlignment="1">
      <alignment horizontal="center" vertical="top"/>
    </xf>
    <xf numFmtId="0" fontId="12" fillId="0" borderId="0" xfId="6" applyFont="1" applyAlignment="1">
      <alignment vertical="top"/>
    </xf>
    <xf numFmtId="43" fontId="12" fillId="0" borderId="0" xfId="7" applyFont="1" applyAlignment="1">
      <alignment vertical="top"/>
    </xf>
    <xf numFmtId="0" fontId="12" fillId="0" borderId="0" xfId="6" applyFont="1" applyAlignment="1">
      <alignment horizontal="center"/>
    </xf>
    <xf numFmtId="43" fontId="12" fillId="0" borderId="0" xfId="6" applyNumberFormat="1" applyFont="1"/>
    <xf numFmtId="0" fontId="13" fillId="18" borderId="1" xfId="6" applyFont="1" applyFill="1" applyBorder="1" applyAlignment="1">
      <alignment horizontal="center"/>
    </xf>
    <xf numFmtId="43" fontId="12" fillId="0" borderId="0" xfId="7" applyFont="1"/>
    <xf numFmtId="43" fontId="12" fillId="0" borderId="0" xfId="7" applyFont="1" applyFill="1"/>
    <xf numFmtId="0" fontId="12" fillId="0" borderId="0" xfId="6" applyFont="1" applyAlignment="1">
      <alignment vertical="top" wrapText="1"/>
    </xf>
    <xf numFmtId="43" fontId="9" fillId="14" borderId="1" xfId="6" applyNumberFormat="1" applyFont="1" applyFill="1" applyBorder="1" applyAlignment="1">
      <alignment vertical="center"/>
    </xf>
    <xf numFmtId="43" fontId="12" fillId="0" borderId="0" xfId="7" applyFont="1" applyFill="1" applyAlignment="1">
      <alignment vertical="top"/>
    </xf>
    <xf numFmtId="0" fontId="2" fillId="19" borderId="1" xfId="6" applyFill="1" applyBorder="1" applyAlignment="1">
      <alignment horizontal="center" vertical="center"/>
    </xf>
    <xf numFmtId="43" fontId="9" fillId="19" borderId="1" xfId="6" applyNumberFormat="1" applyFont="1" applyFill="1" applyBorder="1" applyAlignment="1">
      <alignment vertical="center"/>
    </xf>
    <xf numFmtId="0" fontId="2" fillId="19" borderId="1" xfId="6" applyFill="1" applyBorder="1" applyAlignment="1">
      <alignment horizontal="center"/>
    </xf>
    <xf numFmtId="0" fontId="10" fillId="16" borderId="2" xfId="6" applyFont="1" applyFill="1" applyBorder="1" applyAlignment="1">
      <alignment horizontal="center" vertical="center"/>
    </xf>
    <xf numFmtId="0" fontId="10" fillId="16" borderId="3" xfId="6" applyFont="1" applyFill="1" applyBorder="1"/>
    <xf numFmtId="0" fontId="11" fillId="16" borderId="3" xfId="6" applyFont="1" applyFill="1" applyBorder="1"/>
    <xf numFmtId="43" fontId="11" fillId="16" borderId="4" xfId="6" applyNumberFormat="1" applyFont="1" applyFill="1" applyBorder="1"/>
    <xf numFmtId="0" fontId="15" fillId="0" borderId="0" xfId="6" applyFont="1" applyAlignment="1">
      <alignment horizontal="center" vertical="top"/>
    </xf>
    <xf numFmtId="0" fontId="15" fillId="0" borderId="0" xfId="6" applyFont="1" applyAlignment="1">
      <alignment vertical="top"/>
    </xf>
    <xf numFmtId="43" fontId="12" fillId="0" borderId="0" xfId="2" applyFont="1" applyAlignment="1">
      <alignment vertical="top"/>
    </xf>
    <xf numFmtId="43" fontId="15" fillId="0" borderId="0" xfId="2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/>
    <xf numFmtId="43" fontId="12" fillId="0" borderId="0" xfId="0" applyNumberFormat="1" applyFont="1"/>
    <xf numFmtId="0" fontId="2" fillId="15" borderId="1" xfId="6" applyFill="1" applyBorder="1" applyAlignment="1">
      <alignment horizontal="center" vertical="center"/>
    </xf>
    <xf numFmtId="43" fontId="9" fillId="15" borderId="1" xfId="6" applyNumberFormat="1" applyFont="1" applyFill="1" applyBorder="1" applyAlignment="1">
      <alignment vertical="center"/>
    </xf>
    <xf numFmtId="0" fontId="13" fillId="0" borderId="0" xfId="6" applyFont="1" applyAlignment="1">
      <alignment horizontal="center" vertical="center"/>
    </xf>
    <xf numFmtId="43" fontId="12" fillId="0" borderId="0" xfId="2" applyFont="1"/>
    <xf numFmtId="4" fontId="6" fillId="12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/>
    <xf numFmtId="43" fontId="15" fillId="0" borderId="0" xfId="0" applyNumberFormat="1" applyFont="1"/>
    <xf numFmtId="0" fontId="11" fillId="0" borderId="0" xfId="6" applyFont="1" applyAlignment="1">
      <alignment vertical="center"/>
    </xf>
    <xf numFmtId="0" fontId="12" fillId="0" borderId="0" xfId="6" applyFont="1" applyAlignment="1">
      <alignment vertical="center"/>
    </xf>
    <xf numFmtId="8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0" fillId="0" borderId="0" xfId="2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0" fillId="0" borderId="0" xfId="0" applyFont="1" applyAlignment="1">
      <alignment wrapText="1"/>
    </xf>
    <xf numFmtId="0" fontId="10" fillId="17" borderId="3" xfId="6" applyFont="1" applyFill="1" applyBorder="1" applyAlignment="1">
      <alignment wrapText="1"/>
    </xf>
    <xf numFmtId="0" fontId="13" fillId="18" borderId="1" xfId="6" applyFont="1" applyFill="1" applyBorder="1" applyAlignment="1">
      <alignment horizontal="center" vertical="center" wrapText="1"/>
    </xf>
    <xf numFmtId="0" fontId="12" fillId="0" borderId="0" xfId="6" applyFont="1" applyAlignment="1">
      <alignment wrapText="1"/>
    </xf>
    <xf numFmtId="0" fontId="13" fillId="18" borderId="1" xfId="6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6" applyFont="1" applyAlignment="1">
      <alignment wrapText="1"/>
    </xf>
    <xf numFmtId="0" fontId="17" fillId="0" borderId="0" xfId="0" applyFont="1"/>
    <xf numFmtId="0" fontId="13" fillId="0" borderId="0" xfId="6" applyFont="1" applyAlignment="1">
      <alignment horizontal="center"/>
    </xf>
    <xf numFmtId="14" fontId="12" fillId="0" borderId="0" xfId="6" applyNumberFormat="1" applyFont="1" applyAlignment="1">
      <alignment horizontal="center"/>
    </xf>
    <xf numFmtId="0" fontId="9" fillId="16" borderId="2" xfId="6" applyFont="1" applyFill="1" applyBorder="1" applyAlignment="1">
      <alignment horizontal="center" vertical="center"/>
    </xf>
    <xf numFmtId="0" fontId="9" fillId="16" borderId="3" xfId="6" applyFont="1" applyFill="1" applyBorder="1" applyAlignment="1">
      <alignment wrapText="1"/>
    </xf>
    <xf numFmtId="0" fontId="1" fillId="16" borderId="3" xfId="6" applyFont="1" applyFill="1" applyBorder="1"/>
    <xf numFmtId="43" fontId="1" fillId="16" borderId="4" xfId="6" applyNumberFormat="1" applyFont="1" applyFill="1" applyBorder="1"/>
    <xf numFmtId="0" fontId="1" fillId="0" borderId="0" xfId="6" applyFont="1" applyAlignment="1">
      <alignment vertical="center"/>
    </xf>
    <xf numFmtId="0" fontId="1" fillId="0" borderId="0" xfId="6" applyFont="1"/>
    <xf numFmtId="0" fontId="12" fillId="19" borderId="1" xfId="6" applyFont="1" applyFill="1" applyBorder="1" applyAlignment="1">
      <alignment horizontal="center" vertical="center"/>
    </xf>
    <xf numFmtId="43" fontId="13" fillId="19" borderId="1" xfId="6" applyNumberFormat="1" applyFont="1" applyFill="1" applyBorder="1" applyAlignment="1">
      <alignment vertical="center"/>
    </xf>
    <xf numFmtId="0" fontId="12" fillId="15" borderId="1" xfId="6" applyFont="1" applyFill="1" applyBorder="1" applyAlignment="1">
      <alignment horizontal="center" vertical="center"/>
    </xf>
    <xf numFmtId="43" fontId="13" fillId="15" borderId="1" xfId="6" applyNumberFormat="1" applyFont="1" applyFill="1" applyBorder="1" applyAlignment="1">
      <alignment vertical="center"/>
    </xf>
    <xf numFmtId="0" fontId="12" fillId="19" borderId="1" xfId="6" applyFont="1" applyFill="1" applyBorder="1" applyAlignment="1">
      <alignment horizontal="center"/>
    </xf>
    <xf numFmtId="43" fontId="13" fillId="19" borderId="1" xfId="6" applyNumberFormat="1" applyFont="1" applyFill="1" applyBorder="1"/>
    <xf numFmtId="0" fontId="9" fillId="16" borderId="3" xfId="6" applyFont="1" applyFill="1" applyBorder="1" applyAlignment="1">
      <alignment vertical="center" wrapText="1"/>
    </xf>
    <xf numFmtId="0" fontId="1" fillId="16" borderId="3" xfId="6" applyFont="1" applyFill="1" applyBorder="1" applyAlignment="1">
      <alignment vertical="center"/>
    </xf>
    <xf numFmtId="43" fontId="1" fillId="16" borderId="4" xfId="6" applyNumberFormat="1" applyFont="1" applyFill="1" applyBorder="1" applyAlignment="1">
      <alignment vertical="center"/>
    </xf>
    <xf numFmtId="0" fontId="9" fillId="16" borderId="3" xfId="6" applyFont="1" applyFill="1" applyBorder="1"/>
    <xf numFmtId="0" fontId="12" fillId="15" borderId="1" xfId="6" applyFont="1" applyFill="1" applyBorder="1" applyAlignment="1">
      <alignment horizontal="center"/>
    </xf>
    <xf numFmtId="43" fontId="13" fillId="15" borderId="1" xfId="6" applyNumberFormat="1" applyFont="1" applyFill="1" applyBorder="1"/>
    <xf numFmtId="43" fontId="12" fillId="19" borderId="1" xfId="6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3" fontId="12" fillId="0" borderId="0" xfId="2" applyFont="1" applyFill="1" applyAlignment="1">
      <alignment vertical="top"/>
    </xf>
    <xf numFmtId="0" fontId="21" fillId="0" borderId="0" xfId="0" applyFont="1"/>
    <xf numFmtId="0" fontId="20" fillId="0" borderId="0" xfId="0" applyFont="1"/>
    <xf numFmtId="0" fontId="6" fillId="0" borderId="0" xfId="0" applyFont="1" applyAlignment="1">
      <alignment horizontal="left" vertical="top" wrapText="1"/>
    </xf>
    <xf numFmtId="0" fontId="2" fillId="14" borderId="1" xfId="6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14" borderId="0" xfId="6" applyFont="1" applyFill="1" applyAlignment="1">
      <alignment horizontal="center" vertical="top"/>
    </xf>
    <xf numFmtId="0" fontId="12" fillId="14" borderId="0" xfId="6" applyFont="1" applyFill="1" applyAlignment="1">
      <alignment vertical="top"/>
    </xf>
    <xf numFmtId="43" fontId="12" fillId="14" borderId="0" xfId="7" applyFont="1" applyFill="1" applyAlignment="1">
      <alignment vertical="top"/>
    </xf>
    <xf numFmtId="43" fontId="12" fillId="0" borderId="0" xfId="6" applyNumberFormat="1" applyFont="1" applyAlignment="1">
      <alignment vertical="top"/>
    </xf>
    <xf numFmtId="0" fontId="15" fillId="0" borderId="0" xfId="6" applyFont="1" applyAlignment="1">
      <alignment vertical="top" wrapText="1"/>
    </xf>
    <xf numFmtId="43" fontId="15" fillId="0" borderId="0" xfId="6" applyNumberFormat="1" applyFont="1" applyAlignment="1">
      <alignment vertical="top"/>
    </xf>
    <xf numFmtId="43" fontId="13" fillId="14" borderId="1" xfId="6" applyNumberFormat="1" applyFont="1" applyFill="1" applyBorder="1" applyAlignment="1">
      <alignment vertical="center"/>
    </xf>
    <xf numFmtId="43" fontId="15" fillId="0" borderId="0" xfId="2" applyFont="1" applyFill="1" applyAlignment="1">
      <alignment vertical="top"/>
    </xf>
    <xf numFmtId="4" fontId="5" fillId="19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10" fontId="7" fillId="0" borderId="0" xfId="1" applyNumberFormat="1" applyFont="1" applyFill="1"/>
    <xf numFmtId="0" fontId="7" fillId="0" borderId="0" xfId="0" applyFont="1" applyAlignment="1">
      <alignment horizontal="left" vertical="top" wrapText="1"/>
    </xf>
    <xf numFmtId="43" fontId="0" fillId="0" borderId="0" xfId="2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43" fontId="0" fillId="0" borderId="0" xfId="2" applyFont="1" applyAlignment="1">
      <alignment vertical="top"/>
    </xf>
    <xf numFmtId="0" fontId="22" fillId="0" borderId="0" xfId="6" applyFont="1" applyAlignment="1">
      <alignment horizontal="center" vertical="top"/>
    </xf>
    <xf numFmtId="0" fontId="22" fillId="0" borderId="0" xfId="6" applyFont="1" applyAlignment="1">
      <alignment vertical="top"/>
    </xf>
    <xf numFmtId="43" fontId="22" fillId="0" borderId="0" xfId="2" applyFont="1" applyAlignment="1">
      <alignment vertical="top"/>
    </xf>
    <xf numFmtId="0" fontId="22" fillId="14" borderId="0" xfId="6" applyFont="1" applyFill="1" applyAlignment="1">
      <alignment horizontal="center" vertical="top"/>
    </xf>
    <xf numFmtId="0" fontId="22" fillId="14" borderId="0" xfId="6" applyFont="1" applyFill="1" applyAlignment="1">
      <alignment vertical="top"/>
    </xf>
    <xf numFmtId="43" fontId="22" fillId="14" borderId="0" xfId="2" applyFont="1" applyFill="1" applyAlignment="1">
      <alignment vertical="top"/>
    </xf>
    <xf numFmtId="43" fontId="9" fillId="19" borderId="1" xfId="6" applyNumberFormat="1" applyFont="1" applyFill="1" applyBorder="1"/>
    <xf numFmtId="43" fontId="5" fillId="11" borderId="1" xfId="2" applyFont="1" applyFill="1" applyBorder="1" applyAlignment="1">
      <alignment horizontal="right" vertical="top" wrapText="1"/>
    </xf>
    <xf numFmtId="43" fontId="4" fillId="8" borderId="1" xfId="2" applyFont="1" applyFill="1" applyBorder="1" applyAlignment="1">
      <alignment horizontal="right" vertical="top" wrapText="1"/>
    </xf>
    <xf numFmtId="0" fontId="23" fillId="14" borderId="0" xfId="6" applyFont="1" applyFill="1" applyAlignment="1">
      <alignment vertical="top" wrapText="1"/>
    </xf>
    <xf numFmtId="43" fontId="23" fillId="14" borderId="0" xfId="2" applyFont="1" applyFill="1" applyAlignment="1">
      <alignment vertical="top"/>
    </xf>
    <xf numFmtId="0" fontId="13" fillId="18" borderId="5" xfId="6" applyFont="1" applyFill="1" applyBorder="1" applyAlignment="1">
      <alignment horizontal="center" vertical="center"/>
    </xf>
    <xf numFmtId="43" fontId="23" fillId="14" borderId="0" xfId="7" applyFont="1" applyFill="1" applyAlignment="1">
      <alignment vertical="top"/>
    </xf>
    <xf numFmtId="0" fontId="23" fillId="14" borderId="0" xfId="6" applyFont="1" applyFill="1"/>
    <xf numFmtId="43" fontId="23" fillId="14" borderId="0" xfId="7" applyFont="1" applyFill="1"/>
    <xf numFmtId="43" fontId="24" fillId="0" borderId="0" xfId="7" applyFont="1" applyFill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3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13" fillId="18" borderId="1" xfId="6" applyFont="1" applyFill="1" applyBorder="1" applyAlignment="1">
      <alignment horizontal="center"/>
    </xf>
    <xf numFmtId="0" fontId="12" fillId="15" borderId="1" xfId="6" applyFont="1" applyFill="1" applyBorder="1" applyAlignment="1">
      <alignment vertical="top"/>
    </xf>
    <xf numFmtId="0" fontId="12" fillId="19" borderId="1" xfId="6" applyFont="1" applyFill="1" applyBorder="1" applyAlignment="1">
      <alignment vertical="top"/>
    </xf>
    <xf numFmtId="0" fontId="12" fillId="15" borderId="1" xfId="6" applyFont="1" applyFill="1" applyBorder="1" applyAlignment="1">
      <alignment horizontal="left"/>
    </xf>
    <xf numFmtId="0" fontId="12" fillId="19" borderId="1" xfId="6" applyFont="1" applyFill="1" applyBorder="1" applyAlignment="1">
      <alignment horizontal="left"/>
    </xf>
    <xf numFmtId="0" fontId="9" fillId="18" borderId="1" xfId="6" applyFont="1" applyFill="1" applyBorder="1" applyAlignment="1">
      <alignment horizontal="center"/>
    </xf>
    <xf numFmtId="0" fontId="2" fillId="0" borderId="1" xfId="6" applyBorder="1" applyAlignment="1">
      <alignment vertical="top"/>
    </xf>
    <xf numFmtId="0" fontId="14" fillId="0" borderId="0" xfId="6" applyFont="1" applyAlignment="1">
      <alignment horizontal="center"/>
    </xf>
    <xf numFmtId="0" fontId="2" fillId="19" borderId="1" xfId="6" applyFill="1" applyBorder="1" applyAlignment="1">
      <alignment vertical="top"/>
    </xf>
    <xf numFmtId="0" fontId="2" fillId="19" borderId="1" xfId="6" applyFill="1" applyBorder="1" applyAlignment="1">
      <alignment horizontal="left"/>
    </xf>
    <xf numFmtId="0" fontId="2" fillId="15" borderId="1" xfId="6" applyFill="1" applyBorder="1" applyAlignment="1">
      <alignment vertical="top"/>
    </xf>
    <xf numFmtId="0" fontId="2" fillId="14" borderId="1" xfId="6" applyFill="1" applyBorder="1" applyAlignment="1">
      <alignment vertical="top"/>
    </xf>
    <xf numFmtId="0" fontId="9" fillId="18" borderId="2" xfId="6" applyFont="1" applyFill="1" applyBorder="1" applyAlignment="1">
      <alignment horizontal="center"/>
    </xf>
    <xf numFmtId="0" fontId="9" fillId="18" borderId="3" xfId="6" applyFont="1" applyFill="1" applyBorder="1" applyAlignment="1">
      <alignment horizontal="center"/>
    </xf>
    <xf numFmtId="0" fontId="9" fillId="18" borderId="4" xfId="6" applyFont="1" applyFill="1" applyBorder="1" applyAlignment="1">
      <alignment horizontal="center"/>
    </xf>
    <xf numFmtId="0" fontId="2" fillId="14" borderId="2" xfId="6" applyFill="1" applyBorder="1" applyAlignment="1">
      <alignment vertical="top"/>
    </xf>
    <xf numFmtId="0" fontId="2" fillId="14" borderId="3" xfId="6" applyFill="1" applyBorder="1" applyAlignment="1">
      <alignment vertical="top"/>
    </xf>
    <xf numFmtId="0" fontId="2" fillId="14" borderId="4" xfId="6" applyFill="1" applyBorder="1" applyAlignment="1">
      <alignment vertical="top"/>
    </xf>
    <xf numFmtId="44" fontId="7" fillId="0" borderId="0" xfId="0" applyNumberFormat="1" applyFont="1" applyAlignment="1">
      <alignment vertical="top"/>
    </xf>
    <xf numFmtId="43" fontId="4" fillId="7" borderId="1" xfId="0" applyNumberFormat="1" applyFont="1" applyFill="1" applyBorder="1" applyAlignment="1">
      <alignment horizontal="left" vertical="top" wrapText="1"/>
    </xf>
    <xf numFmtId="43" fontId="4" fillId="12" borderId="1" xfId="0" applyNumberFormat="1" applyFont="1" applyFill="1" applyBorder="1" applyAlignment="1">
      <alignment horizontal="right" vertical="top" wrapText="1"/>
    </xf>
    <xf numFmtId="43" fontId="4" fillId="0" borderId="0" xfId="0" applyNumberFormat="1" applyFont="1" applyAlignment="1">
      <alignment horizontal="right" vertical="top" wrapText="1"/>
    </xf>
    <xf numFmtId="44" fontId="6" fillId="0" borderId="0" xfId="8" applyFont="1" applyFill="1" applyAlignment="1">
      <alignment vertical="top" wrapText="1"/>
    </xf>
    <xf numFmtId="0" fontId="6" fillId="0" borderId="0" xfId="8" applyNumberFormat="1" applyFont="1" applyFill="1" applyAlignment="1">
      <alignment vertical="top" wrapText="1"/>
    </xf>
    <xf numFmtId="44" fontId="6" fillId="0" borderId="0" xfId="8" applyFont="1" applyFill="1" applyBorder="1" applyAlignment="1">
      <alignment vertical="top" wrapText="1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wrapText="1"/>
    </xf>
    <xf numFmtId="43" fontId="19" fillId="12" borderId="1" xfId="0" applyNumberFormat="1" applyFont="1" applyFill="1" applyBorder="1" applyAlignment="1">
      <alignment horizontal="right" vertical="top" wrapText="1"/>
    </xf>
    <xf numFmtId="43" fontId="18" fillId="12" borderId="1" xfId="0" applyNumberFormat="1" applyFont="1" applyFill="1" applyBorder="1" applyAlignment="1">
      <alignment horizontal="right" vertical="top" wrapTex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7" fillId="0" borderId="10" xfId="0" applyFont="1" applyBorder="1"/>
    <xf numFmtId="44" fontId="7" fillId="0" borderId="11" xfId="0" applyNumberFormat="1" applyFont="1" applyBorder="1"/>
  </cellXfs>
  <cellStyles count="9">
    <cellStyle name="Moeda" xfId="8" builtinId="4"/>
    <cellStyle name="Moeda 2" xfId="5"/>
    <cellStyle name="Normal" xfId="0" builtinId="0"/>
    <cellStyle name="Normal 2" xfId="3"/>
    <cellStyle name="Normal 3" xfId="6"/>
    <cellStyle name="Porcentagem" xfId="1" builtinId="5"/>
    <cellStyle name="Vírgula" xfId="2" builtinId="3"/>
    <cellStyle name="Vírgula 2" xfId="4"/>
    <cellStyle name="Vírgula 3" xfId="7"/>
  </cellStyles>
  <dxfs count="22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1057</xdr:colOff>
      <xdr:row>4</xdr:row>
      <xdr:rowOff>128588</xdr:rowOff>
    </xdr:from>
    <xdr:to>
      <xdr:col>7</xdr:col>
      <xdr:colOff>342900</xdr:colOff>
      <xdr:row>7</xdr:row>
      <xdr:rowOff>38628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13088" y="854869"/>
          <a:ext cx="6080656" cy="576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Contrato nº: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052/2022-TCE/AM </a:t>
          </a:r>
        </a:p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Objeto: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SERVIÇOS COMUNS DE ENGENHARIA PARA REFORMAS E MANUTENÇÃO PREDIAL</a:t>
          </a:r>
        </a:p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Contratada: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H K SERVIÇOS DE CONSTRUÇÃO LTDA - CNPJ 12.011.719/0001-07</a:t>
          </a:r>
        </a:p>
      </xdr:txBody>
    </xdr:sp>
    <xdr:clientData/>
  </xdr:twoCellAnchor>
  <xdr:twoCellAnchor editAs="oneCell">
    <xdr:from>
      <xdr:col>0</xdr:col>
      <xdr:colOff>161925</xdr:colOff>
      <xdr:row>2</xdr:row>
      <xdr:rowOff>122767</xdr:rowOff>
    </xdr:from>
    <xdr:to>
      <xdr:col>2</xdr:col>
      <xdr:colOff>3174</xdr:colOff>
      <xdr:row>6</xdr:row>
      <xdr:rowOff>263525</xdr:rowOff>
    </xdr:to>
    <xdr:pic>
      <xdr:nvPicPr>
        <xdr:cNvPr id="3" name="Imagem 5" descr="BRASAO_NOVO TC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46617"/>
          <a:ext cx="850899" cy="855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590550</xdr:colOff>
      <xdr:row>557</xdr:row>
      <xdr:rowOff>28575</xdr:rowOff>
    </xdr:from>
    <xdr:to>
      <xdr:col>24</xdr:col>
      <xdr:colOff>447675</xdr:colOff>
      <xdr:row>569</xdr:row>
      <xdr:rowOff>6659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297E29F-931F-2A10-C2ED-3D2E53114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400" y="86877525"/>
          <a:ext cx="7400925" cy="180688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459</xdr:row>
      <xdr:rowOff>0</xdr:rowOff>
    </xdr:from>
    <xdr:to>
      <xdr:col>25</xdr:col>
      <xdr:colOff>84771</xdr:colOff>
      <xdr:row>469</xdr:row>
      <xdr:rowOff>76000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C3EAF6-482B-10A8-AD07-AB31FF033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1650" y="71837550"/>
          <a:ext cx="7628571" cy="160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4" displayName="Tabela4" ref="B209:K226" totalsRowCount="1" headerRowDxfId="2229" dataDxfId="2227" totalsRowDxfId="2226" headerRowBorderDxfId="2228" dataCellStyle="Vírgula">
  <autoFilter ref="B209:K2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2225" totalsRowDxfId="2224"/>
    <tableColumn id="2" name="Descrição / Local" dataDxfId="2223" totalsRowDxfId="2222"/>
    <tableColumn id="3" name="Comp. (m)" dataDxfId="2221" totalsRowDxfId="2220" dataCellStyle="Vírgula"/>
    <tableColumn id="4" name="Quant." dataDxfId="2219" totalsRowDxfId="2218" dataCellStyle="Vírgula"/>
    <tableColumn id="5" name="C" dataDxfId="2217" totalsRowDxfId="2216" dataCellStyle="Vírgula"/>
    <tableColumn id="6" name="D" dataDxfId="2215" totalsRowDxfId="2214" dataCellStyle="Vírgula"/>
    <tableColumn id="7" name="E" dataDxfId="2213" totalsRowDxfId="2212" dataCellStyle="Vírgula"/>
    <tableColumn id="8" name="F" dataDxfId="2211" totalsRowDxfId="2210" dataCellStyle="Vírgula"/>
    <tableColumn id="9" name="G" dataDxfId="2209" totalsRowDxfId="2208" dataCellStyle="Vírgula"/>
    <tableColumn id="10" name="Total" totalsRowFunction="sum" dataDxfId="2207" totalsRowDxfId="2206" dataCellStyle="Vírgula">
      <calculatedColumnFormula>Tabela4[[#This Row],[Comp. (m)]]*Tabela4[[#This Row],[Quant.]]</calculatedColumnFormula>
    </tableColumn>
  </tableColumns>
  <tableStyleInfo name="TableStyleLight18" showFirstColumn="0" showLastColumn="0" showRowStripes="0" showColumnStripes="0"/>
</table>
</file>

<file path=xl/tables/table10.xml><?xml version="1.0" encoding="utf-8"?>
<table xmlns="http://schemas.openxmlformats.org/spreadsheetml/2006/main" id="10" name="Tabela46793" displayName="Tabela46793" ref="B531:K534" totalsRowCount="1" headerRowDxfId="2014" dataDxfId="2012" totalsRowDxfId="2011" headerRowBorderDxfId="2013" dataCellStyle="Vírgula">
  <autoFilter ref="B531:K5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2010" totalsRowDxfId="2009"/>
    <tableColumn id="2" name="Descrição / Local" dataDxfId="2008" totalsRowDxfId="2007"/>
    <tableColumn id="3" name="Quant." dataDxfId="2006" totalsRowDxfId="2005" dataCellStyle="Vírgula"/>
    <tableColumn id="4" name="Larg. (m)" dataDxfId="2004" totalsRowDxfId="2003" dataCellStyle="Vírgula"/>
    <tableColumn id="5" name="Altura (m)" dataDxfId="2002" totalsRowDxfId="2001" dataCellStyle="Vírgula"/>
    <tableColumn id="6" name="D" dataDxfId="2000" totalsRowDxfId="1999" dataCellStyle="Vírgula"/>
    <tableColumn id="7" name="E" dataDxfId="1998" totalsRowDxfId="1997" dataCellStyle="Vírgula"/>
    <tableColumn id="8" name="F" dataDxfId="1996" totalsRowDxfId="1995" dataCellStyle="Vírgula"/>
    <tableColumn id="9" name="G" dataDxfId="1994" totalsRowDxfId="1993" dataCellStyle="Vírgula"/>
    <tableColumn id="10" name="Total" totalsRowFunction="sum" dataDxfId="1992" totalsRowDxfId="1991" dataCellStyle="Vírgula">
      <calculatedColumnFormula>Tabela46793[[#This Row],[Quant.]]*Tabela46793[[#This Row],[Larg. (m)]]*Tabela46793[[#This Row],[Altura (m)]]</calculatedColumnFormula>
    </tableColumn>
  </tableColumns>
  <tableStyleInfo name="TableStyleLight18" showFirstColumn="0" showLastColumn="0" showRowStripes="0" showColumnStripes="0"/>
</table>
</file>

<file path=xl/tables/table11.xml><?xml version="1.0" encoding="utf-8"?>
<table xmlns="http://schemas.openxmlformats.org/spreadsheetml/2006/main" id="15" name="Tabela467918" displayName="Tabela467918" ref="B30:K35" totalsRowCount="1" headerRowDxfId="1990" dataDxfId="1988" totalsRowDxfId="1987" headerRowBorderDxfId="1989" dataCellStyle="Vírgula">
  <autoFilter ref="B30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986" totalsRowDxfId="1985"/>
    <tableColumn id="2" name="Descrição / Local" dataDxfId="1984" totalsRowDxfId="1983"/>
    <tableColumn id="3" name="Comp. (m)" dataDxfId="1982" totalsRowDxfId="1981" dataCellStyle="Vírgula"/>
    <tableColumn id="4" name="B" dataDxfId="1980" totalsRowDxfId="1979" dataCellStyle="Vírgula"/>
    <tableColumn id="5" name="C" dataDxfId="1978" totalsRowDxfId="1977" dataCellStyle="Vírgula"/>
    <tableColumn id="6" name="D" dataDxfId="1976" totalsRowDxfId="1975" dataCellStyle="Vírgula"/>
    <tableColumn id="7" name="E" dataDxfId="1974" totalsRowDxfId="1973" dataCellStyle="Vírgula"/>
    <tableColumn id="8" name="F" dataDxfId="1972" totalsRowDxfId="1971" dataCellStyle="Vírgula"/>
    <tableColumn id="9" name="G" dataDxfId="1970" totalsRowDxfId="1969" dataCellStyle="Vírgula"/>
    <tableColumn id="10" name="Total" totalsRowFunction="sum" dataDxfId="1968" totalsRowDxfId="1967" dataCellStyle="Vírgula">
      <calculatedColumnFormula>D31</calculatedColumnFormula>
    </tableColumn>
  </tableColumns>
  <tableStyleInfo name="TableStyleLight18" showFirstColumn="0" showLastColumn="0" showRowStripes="0" showColumnStripes="0"/>
</table>
</file>

<file path=xl/tables/table12.xml><?xml version="1.0" encoding="utf-8"?>
<table xmlns="http://schemas.openxmlformats.org/spreadsheetml/2006/main" id="16" name="Tabela467919" displayName="Tabela467919" ref="B152:K154" totalsRowCount="1" headerRowDxfId="1966" dataDxfId="1964" totalsRowDxfId="1963" headerRowBorderDxfId="1965" dataCellStyle="Vírgula">
  <autoFilter ref="B152:K1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962" totalsRowDxfId="1961"/>
    <tableColumn id="2" name="Descrição / Local" dataDxfId="1960" totalsRowDxfId="1959"/>
    <tableColumn id="3" name="Comp. (m)" dataDxfId="1958" totalsRowDxfId="1957" dataCellStyle="Vírgula"/>
    <tableColumn id="4" name="Larg. (m)" dataDxfId="1956" totalsRowDxfId="1955" dataCellStyle="Vírgula"/>
    <tableColumn id="5" name="C" dataDxfId="1954" totalsRowDxfId="1953" dataCellStyle="Vírgula"/>
    <tableColumn id="6" name="D" dataDxfId="1952" totalsRowDxfId="1951" dataCellStyle="Vírgula"/>
    <tableColumn id="7" name="E" dataDxfId="1950" totalsRowDxfId="1949" dataCellStyle="Vírgula"/>
    <tableColumn id="8" name="F" dataDxfId="1948" totalsRowDxfId="1947" dataCellStyle="Vírgula"/>
    <tableColumn id="9" name="G" dataDxfId="1946" totalsRowDxfId="1945" dataCellStyle="Vírgula"/>
    <tableColumn id="10" name="Total" totalsRowFunction="sum" dataDxfId="1944" totalsRowDxfId="1943" dataCellStyle="Vírgula">
      <calculatedColumnFormula>Tabela467919[[#This Row],[Comp. (m)]]*Tabela467919[[#This Row],[Larg. (m)]]</calculatedColumnFormula>
    </tableColumn>
  </tableColumns>
  <tableStyleInfo name="TableStyleLight18" showFirstColumn="0" showLastColumn="0" showRowStripes="0" showColumnStripes="0"/>
</table>
</file>

<file path=xl/tables/table13.xml><?xml version="1.0" encoding="utf-8"?>
<table xmlns="http://schemas.openxmlformats.org/spreadsheetml/2006/main" id="17" name="Tabela467920" displayName="Tabela467920" ref="B60:K62" totalsRowCount="1" headerRowDxfId="1942" dataDxfId="1940" totalsRowDxfId="1939" headerRowBorderDxfId="1941" dataCellStyle="Vírgula">
  <autoFilter ref="B60:K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938" totalsRowDxfId="1937" dataCellStyle="Normal 3"/>
    <tableColumn id="2" name="Descrição / Local" dataDxfId="1936" totalsRowDxfId="1935" dataCellStyle="Normal 3"/>
    <tableColumn id="3" name="Larg. (m)" dataDxfId="1934" totalsRowDxfId="1933" dataCellStyle="Normal 3"/>
    <tableColumn id="4" name="Altura (m)" dataDxfId="1932" totalsRowDxfId="1931" dataCellStyle="Normal 3"/>
    <tableColumn id="5" name="Lados" dataDxfId="1930" totalsRowDxfId="1929" dataCellStyle="Normal 3"/>
    <tableColumn id="6" name="D" dataDxfId="1928" totalsRowDxfId="1927" dataCellStyle="Normal 3"/>
    <tableColumn id="7" name="E" dataDxfId="1926" totalsRowDxfId="1925" dataCellStyle="Normal 3"/>
    <tableColumn id="8" name="F" dataDxfId="1924" totalsRowDxfId="1923" dataCellStyle="Normal 3"/>
    <tableColumn id="9" name="G" dataDxfId="1922" totalsRowDxfId="1921" dataCellStyle="Normal 3"/>
    <tableColumn id="10" name="Total" totalsRowFunction="sum" dataDxfId="1920" totalsRowDxfId="1919" dataCellStyle="Normal 3">
      <calculatedColumnFormula>Tabela467920[Larg. (m)]*Tabela467920[Altura (m)]*Tabela467920[Lados]</calculatedColumnFormula>
    </tableColumn>
  </tableColumns>
  <tableStyleInfo name="TableStyleLight18" showFirstColumn="0" showLastColumn="0" showRowStripes="0" showColumnStripes="0"/>
</table>
</file>

<file path=xl/tables/table14.xml><?xml version="1.0" encoding="utf-8"?>
<table xmlns="http://schemas.openxmlformats.org/spreadsheetml/2006/main" id="18" name="Tabela467921" displayName="Tabela467921" ref="B309:K313" totalsRowCount="1" headerRowDxfId="1918" dataDxfId="1916" totalsRowDxfId="1915" headerRowBorderDxfId="1917" dataCellStyle="Vírgula">
  <autoFilter ref="B309:K3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914" totalsRowDxfId="1913"/>
    <tableColumn id="2" name="Descrição / Local" dataDxfId="1912" totalsRowDxfId="1911"/>
    <tableColumn id="3" name="Quant." dataDxfId="1910" totalsRowDxfId="1909" dataCellStyle="Vírgula"/>
    <tableColumn id="4" name="B" dataDxfId="1908" totalsRowDxfId="1907" dataCellStyle="Vírgula"/>
    <tableColumn id="5" name="C" dataDxfId="1906" totalsRowDxfId="1905" dataCellStyle="Vírgula"/>
    <tableColumn id="6" name="D" dataDxfId="1904" totalsRowDxfId="1903" dataCellStyle="Vírgula"/>
    <tableColumn id="7" name="E" dataDxfId="1902" totalsRowDxfId="1901" dataCellStyle="Vírgula"/>
    <tableColumn id="8" name="F" dataDxfId="1900" totalsRowDxfId="1899" dataCellStyle="Vírgula"/>
    <tableColumn id="9" name="G" dataDxfId="1898" totalsRowDxfId="1897" dataCellStyle="Vírgula"/>
    <tableColumn id="10" name="Total" totalsRowFunction="sum" dataDxfId="1896" totalsRowDxfId="1895" dataCellStyle="Vírgula">
      <calculatedColumnFormula>D310</calculatedColumnFormula>
    </tableColumn>
  </tableColumns>
  <tableStyleInfo name="TableStyleLight18" showFirstColumn="0" showLastColumn="0" showRowStripes="0" showColumnStripes="0"/>
</table>
</file>

<file path=xl/tables/table15.xml><?xml version="1.0" encoding="utf-8"?>
<table xmlns="http://schemas.openxmlformats.org/spreadsheetml/2006/main" id="19" name="Tabela467922" displayName="Tabela467922" ref="B49:K56" totalsRowCount="1" headerRowDxfId="1894" dataDxfId="1892" totalsRowDxfId="1891" headerRowBorderDxfId="1893" dataCellStyle="Vírgula">
  <autoFilter ref="B49:K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890" totalsRowDxfId="1889"/>
    <tableColumn id="2" name="Descrição / Local" dataDxfId="1888" totalsRowDxfId="1887"/>
    <tableColumn id="3" name="Quant." dataDxfId="1886" totalsRowDxfId="1885" dataCellStyle="Vírgula"/>
    <tableColumn id="4" name="B" dataDxfId="1884" totalsRowDxfId="1883" dataCellStyle="Vírgula"/>
    <tableColumn id="5" name="C" dataDxfId="1882" totalsRowDxfId="1881" dataCellStyle="Vírgula"/>
    <tableColumn id="6" name="D" dataDxfId="1880" totalsRowDxfId="1879" dataCellStyle="Vírgula"/>
    <tableColumn id="7" name="E" dataDxfId="1878" totalsRowDxfId="1877" dataCellStyle="Vírgula"/>
    <tableColumn id="8" name="F" dataDxfId="1876" totalsRowDxfId="1875" dataCellStyle="Vírgula"/>
    <tableColumn id="9" name="G" dataDxfId="1874" totalsRowDxfId="1873" dataCellStyle="Vírgula"/>
    <tableColumn id="10" name="Total" totalsRowFunction="sum" dataDxfId="1872" totalsRowDxfId="1871" dataCellStyle="Vírgula">
      <calculatedColumnFormula>D50</calculatedColumnFormula>
    </tableColumn>
  </tableColumns>
  <tableStyleInfo name="TableStyleLight18" showFirstColumn="0" showLastColumn="0" showRowStripes="0" showColumnStripes="0"/>
</table>
</file>

<file path=xl/tables/table16.xml><?xml version="1.0" encoding="utf-8"?>
<table xmlns="http://schemas.openxmlformats.org/spreadsheetml/2006/main" id="20" name="Tabela467923" displayName="Tabela467923" ref="B87:K89" totalsRowCount="1" headerRowDxfId="1870" dataDxfId="1868" totalsRowDxfId="1867" headerRowBorderDxfId="1869" dataCellStyle="Vírgula">
  <autoFilter ref="B87:K8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866" totalsRowDxfId="1865"/>
    <tableColumn id="2" name="Descrição / Local" dataDxfId="1864" totalsRowDxfId="1863"/>
    <tableColumn id="3" name="Larg. (m)" dataDxfId="1862" totalsRowDxfId="1861" dataCellStyle="Vírgula"/>
    <tableColumn id="4" name="Altura (m)" dataDxfId="1860" totalsRowDxfId="1859" dataCellStyle="Vírgula"/>
    <tableColumn id="5" name="C" dataDxfId="1858" totalsRowDxfId="1857" dataCellStyle="Vírgula"/>
    <tableColumn id="6" name="D" dataDxfId="1856" totalsRowDxfId="1855" dataCellStyle="Vírgula"/>
    <tableColumn id="7" name="E" dataDxfId="1854" totalsRowDxfId="1853" dataCellStyle="Vírgula"/>
    <tableColumn id="8" name="F" dataDxfId="1852" totalsRowDxfId="1851" dataCellStyle="Vírgula"/>
    <tableColumn id="9" name="G" dataDxfId="1850" totalsRowDxfId="1849" dataCellStyle="Vírgula"/>
    <tableColumn id="10" name="Total" totalsRowFunction="sum" dataDxfId="1848" totalsRowDxfId="1847" dataCellStyle="Vírgula">
      <calculatedColumnFormula>Tabela467923[[#This Row],[Larg. (m)]]*Tabela467923[[#This Row],[Altura (m)]]</calculatedColumnFormula>
    </tableColumn>
  </tableColumns>
  <tableStyleInfo name="TableStyleLight18" showFirstColumn="0" showLastColumn="0" showRowStripes="0" showColumnStripes="0"/>
</table>
</file>

<file path=xl/tables/table17.xml><?xml version="1.0" encoding="utf-8"?>
<table xmlns="http://schemas.openxmlformats.org/spreadsheetml/2006/main" id="21" name="Tabela467924" displayName="Tabela467924" ref="B93:K106" totalsRowCount="1" headerRowDxfId="1846" dataDxfId="1844" totalsRowDxfId="1843" headerRowBorderDxfId="1845" dataCellStyle="Vírgula">
  <autoFilter ref="B93:K10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842" totalsRowDxfId="1841"/>
    <tableColumn id="2" name="Descrição / Local" dataDxfId="1840" totalsRowDxfId="1839"/>
    <tableColumn id="3" name="Quant. (m)" dataDxfId="1838" totalsRowDxfId="1837" dataCellStyle="Vírgula"/>
    <tableColumn id="4" name="Larg. (m)" dataDxfId="1836" totalsRowDxfId="1835" dataCellStyle="Vírgula"/>
    <tableColumn id="5" name="Comp. (m)" dataDxfId="1834" totalsRowDxfId="1833" dataCellStyle="Vírgula"/>
    <tableColumn id="6" name="D" dataDxfId="1832" totalsRowDxfId="1831" dataCellStyle="Vírgula"/>
    <tableColumn id="7" name="E" dataDxfId="1830" totalsRowDxfId="1829" dataCellStyle="Vírgula"/>
    <tableColumn id="8" name="F" dataDxfId="1828" totalsRowDxfId="1827" dataCellStyle="Vírgula"/>
    <tableColumn id="9" name="G" dataDxfId="1826" totalsRowDxfId="1825" dataCellStyle="Vírgula"/>
    <tableColumn id="10" name="Total" totalsRowFunction="sum" dataDxfId="1824" totalsRowDxfId="1823" dataCellStyle="Vírgula">
      <calculatedColumnFormula>Tabela467924[[#This Row],[Quant. (m)]]*Tabela467924[[#This Row],[Larg. (m)]]*Tabela467924[[#This Row],[Comp. (m)]]</calculatedColumnFormula>
    </tableColumn>
  </tableColumns>
  <tableStyleInfo name="TableStyleLight18" showFirstColumn="0" showLastColumn="0" showRowStripes="0" showColumnStripes="0"/>
</table>
</file>

<file path=xl/tables/table18.xml><?xml version="1.0" encoding="utf-8"?>
<table xmlns="http://schemas.openxmlformats.org/spreadsheetml/2006/main" id="22" name="Tabela467925" displayName="Tabela467925" ref="B110:K112" totalsRowCount="1" headerRowDxfId="1822" dataDxfId="1820" totalsRowDxfId="1819" headerRowBorderDxfId="1821" dataCellStyle="Vírgula">
  <autoFilter ref="B110:K1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818" totalsRowDxfId="1817"/>
    <tableColumn id="2" name="Descrição / Local" dataDxfId="1816" totalsRowDxfId="1815"/>
    <tableColumn id="3" name="Comp. (m)" dataDxfId="1814" totalsRowDxfId="1813" dataCellStyle="Vírgula"/>
    <tableColumn id="4" name="B" dataDxfId="1812" totalsRowDxfId="1811" dataCellStyle="Vírgula"/>
    <tableColumn id="5" name="C" dataDxfId="1810" totalsRowDxfId="1809" dataCellStyle="Vírgula"/>
    <tableColumn id="6" name="D" dataDxfId="1808" totalsRowDxfId="1807" dataCellStyle="Vírgula"/>
    <tableColumn id="7" name="E" dataDxfId="1806" totalsRowDxfId="1805" dataCellStyle="Vírgula"/>
    <tableColumn id="8" name="F" dataDxfId="1804" totalsRowDxfId="1803" dataCellStyle="Vírgula"/>
    <tableColumn id="9" name="G" dataDxfId="1802" totalsRowDxfId="1801" dataCellStyle="Vírgula"/>
    <tableColumn id="10" name="Total" totalsRowFunction="sum" dataDxfId="1800" totalsRowDxfId="1799" dataCellStyle="Vírgula">
      <calculatedColumnFormula>D111</calculatedColumnFormula>
    </tableColumn>
  </tableColumns>
  <tableStyleInfo name="TableStyleLight18" showFirstColumn="0" showLastColumn="0" showRowStripes="0" showColumnStripes="0"/>
</table>
</file>

<file path=xl/tables/table19.xml><?xml version="1.0" encoding="utf-8"?>
<table xmlns="http://schemas.openxmlformats.org/spreadsheetml/2006/main" id="29" name="Tabela467934" displayName="Tabela467934" ref="B76:K78" totalsRowCount="1" headerRowDxfId="1798" dataDxfId="1796" totalsRowDxfId="1795" headerRowBorderDxfId="1797" dataCellStyle="Vírgula">
  <autoFilter ref="B76:K7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794" totalsRowDxfId="1793" dataCellStyle="Normal 3"/>
    <tableColumn id="2" name="Descrição / Local" dataDxfId="1792" totalsRowDxfId="1791" dataCellStyle="Normal 3"/>
    <tableColumn id="3" name="Larg. (m)" dataDxfId="1790" totalsRowDxfId="1789" dataCellStyle="Normal 3"/>
    <tableColumn id="4" name="Altura (m)" dataDxfId="1788" totalsRowDxfId="1787" dataCellStyle="Normal 3"/>
    <tableColumn id="5" name="C" dataDxfId="1786" totalsRowDxfId="1785" dataCellStyle="Normal 3"/>
    <tableColumn id="6" name="D" dataDxfId="1784" totalsRowDxfId="1783" dataCellStyle="Normal 3"/>
    <tableColumn id="7" name="E" dataDxfId="1782" totalsRowDxfId="1781" dataCellStyle="Normal 3"/>
    <tableColumn id="8" name="F" dataDxfId="1780" totalsRowDxfId="1779" dataCellStyle="Normal 3"/>
    <tableColumn id="9" name="G" dataDxfId="1778" totalsRowDxfId="1777" dataCellStyle="Normal 3"/>
    <tableColumn id="10" name="Total" totalsRowFunction="sum" dataDxfId="1776" totalsRowDxfId="1775" dataCellStyle="Normal 3">
      <calculatedColumnFormula>Tabela467934[[#This Row],[Larg. (m)]]*Tabela467934[[#This Row],[Altura (m)]]</calculatedColumnFormula>
    </tableColumn>
  </tableColumns>
  <tableStyleInfo name="TableStyleLight18" showFirstColumn="0" showLastColumn="0" showRowStripes="0" showColumnStripes="0"/>
</table>
</file>

<file path=xl/tables/table2.xml><?xml version="1.0" encoding="utf-8"?>
<table xmlns="http://schemas.openxmlformats.org/spreadsheetml/2006/main" id="2" name="Tabela46" displayName="Tabela46" ref="B175:K182" totalsRowCount="1" headerRowDxfId="2205" dataDxfId="2203" totalsRowDxfId="2202" headerRowBorderDxfId="2204" dataCellStyle="Vírgula">
  <autoFilter ref="B175:K1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2201" totalsRowDxfId="2200"/>
    <tableColumn id="2" name="Descrição / Local" dataDxfId="2199" totalsRowDxfId="2198"/>
    <tableColumn id="3" name="Comp. (m)" dataDxfId="2197" totalsRowDxfId="2196" dataCellStyle="Vírgula"/>
    <tableColumn id="4" name="Larg. (m)" dataDxfId="2195" totalsRowDxfId="2194" dataCellStyle="Vírgula"/>
    <tableColumn id="5" name="C" dataDxfId="2193" totalsRowDxfId="2192" dataCellStyle="Vírgula"/>
    <tableColumn id="6" name="D" dataDxfId="2191" totalsRowDxfId="2190" dataCellStyle="Vírgula"/>
    <tableColumn id="7" name="E" dataDxfId="2189" totalsRowDxfId="2188" dataCellStyle="Vírgula"/>
    <tableColumn id="8" name="F" dataDxfId="2187" totalsRowDxfId="2186" dataCellStyle="Vírgula"/>
    <tableColumn id="9" name="G" dataDxfId="2185" totalsRowDxfId="2184" dataCellStyle="Vírgula"/>
    <tableColumn id="10" name="Total" totalsRowFunction="sum" dataDxfId="2183" totalsRowDxfId="2182" dataCellStyle="Vírgula">
      <calculatedColumnFormula>D176*E176</calculatedColumnFormula>
    </tableColumn>
  </tableColumns>
  <tableStyleInfo name="TableStyleLight18" showFirstColumn="0" showLastColumn="0" showRowStripes="0" showColumnStripes="0"/>
</table>
</file>

<file path=xl/tables/table20.xml><?xml version="1.0" encoding="utf-8"?>
<table xmlns="http://schemas.openxmlformats.org/spreadsheetml/2006/main" id="33" name="Tabela467939" displayName="Tabela467939" ref="B186:K188" totalsRowCount="1" headerRowDxfId="1774" dataDxfId="1772" totalsRowDxfId="1771" headerRowBorderDxfId="1773" dataCellStyle="Vírgula">
  <autoFilter ref="B186:K18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770" totalsRowDxfId="1769"/>
    <tableColumn id="2" name="Descrição / Local" dataDxfId="1768" totalsRowDxfId="1767"/>
    <tableColumn id="3" name="Comp. (m)" dataDxfId="1766" totalsRowDxfId="1765" dataCellStyle="Vírgula"/>
    <tableColumn id="4" name="B" dataDxfId="1764" totalsRowDxfId="1763" dataCellStyle="Vírgula"/>
    <tableColumn id="5" name="C" dataDxfId="1762" totalsRowDxfId="1761" dataCellStyle="Vírgula"/>
    <tableColumn id="6" name="D" dataDxfId="1760" totalsRowDxfId="1759" dataCellStyle="Vírgula"/>
    <tableColumn id="7" name="E" dataDxfId="1758" totalsRowDxfId="1757" dataCellStyle="Vírgula"/>
    <tableColumn id="8" name="F" dataDxfId="1756" totalsRowDxfId="1755" dataCellStyle="Vírgula"/>
    <tableColumn id="9" name="G" dataDxfId="1754" totalsRowDxfId="1753" dataCellStyle="Vírgula"/>
    <tableColumn id="10" name="Total" totalsRowFunction="sum" dataDxfId="1752" totalsRowDxfId="1751" dataCellStyle="Vírgula">
      <calculatedColumnFormula>D187</calculatedColumnFormula>
    </tableColumn>
  </tableColumns>
  <tableStyleInfo name="TableStyleLight18" showFirstColumn="0" showLastColumn="0" showRowStripes="0" showColumnStripes="0"/>
</table>
</file>

<file path=xl/tables/table21.xml><?xml version="1.0" encoding="utf-8"?>
<table xmlns="http://schemas.openxmlformats.org/spreadsheetml/2006/main" id="34" name="Tabela467940" displayName="Tabela467940" ref="B517:K527" totalsRowCount="1" headerRowDxfId="1750" dataDxfId="1748" totalsRowDxfId="1747" headerRowBorderDxfId="1749" dataCellStyle="Vírgula">
  <autoFilter ref="B517:K5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746" totalsRowDxfId="1745" dataCellStyle="Normal 3"/>
    <tableColumn id="2" name="Descrição / Local" dataDxfId="1744" totalsRowDxfId="1743" dataCellStyle="Normal 3"/>
    <tableColumn id="3" name="Larg. (m)" dataDxfId="1742" totalsRowDxfId="1741" dataCellStyle="Normal 3"/>
    <tableColumn id="4" name="Altura (m)" dataDxfId="1740" totalsRowDxfId="1739" dataCellStyle="Normal 3"/>
    <tableColumn id="5" name="C" dataDxfId="1738" totalsRowDxfId="1737" dataCellStyle="Normal 3"/>
    <tableColumn id="6" name="D" dataDxfId="1736" totalsRowDxfId="1735" dataCellStyle="Normal 3"/>
    <tableColumn id="7" name="E" dataDxfId="1734" totalsRowDxfId="1733" dataCellStyle="Normal 3"/>
    <tableColumn id="8" name="F" dataDxfId="1732" totalsRowDxfId="1731" dataCellStyle="Normal 3"/>
    <tableColumn id="9" name="G" dataDxfId="1730" totalsRowDxfId="1729" dataCellStyle="Normal 3"/>
    <tableColumn id="10" name="Total" totalsRowFunction="sum" dataDxfId="1728" totalsRowDxfId="1727" dataCellStyle="Normal 3">
      <calculatedColumnFormula>Tabela467940[[#This Row],[Larg. (m)]]*Tabela467940[[#This Row],[Altura (m)]]</calculatedColumnFormula>
    </tableColumn>
  </tableColumns>
  <tableStyleInfo name="TableStyleLight18" showFirstColumn="0" showLastColumn="0" showRowStripes="0" showColumnStripes="0"/>
</table>
</file>

<file path=xl/tables/table22.xml><?xml version="1.0" encoding="utf-8"?>
<table xmlns="http://schemas.openxmlformats.org/spreadsheetml/2006/main" id="35" name="Tabela46794041" displayName="Tabela46794041" ref="B461:K468" totalsRowCount="1" headerRowDxfId="1726" dataDxfId="1724" totalsRowDxfId="1723" headerRowBorderDxfId="1725" dataCellStyle="Vírgula">
  <autoFilter ref="B461:K4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722" totalsRowDxfId="1721" dataCellStyle="Normal 3"/>
    <tableColumn id="2" name="Descrição / Local" dataDxfId="1720" totalsRowDxfId="1719" dataCellStyle="Normal 3"/>
    <tableColumn id="3" name="Quant." dataDxfId="1718" totalsRowDxfId="1717" dataCellStyle="Normal 3"/>
    <tableColumn id="4" name="Comp. (m)" dataDxfId="1716" totalsRowDxfId="1715" dataCellStyle="Normal 3"/>
    <tableColumn id="5" name="C" dataDxfId="1714" totalsRowDxfId="1713" dataCellStyle="Normal 3"/>
    <tableColumn id="6" name="D" dataDxfId="1712" totalsRowDxfId="1711" dataCellStyle="Normal 3"/>
    <tableColumn id="7" name="E" dataDxfId="1710" totalsRowDxfId="1709" dataCellStyle="Normal 3"/>
    <tableColumn id="8" name="F" dataDxfId="1708" totalsRowDxfId="1707" dataCellStyle="Normal 3"/>
    <tableColumn id="9" name="G" dataDxfId="1706" totalsRowDxfId="1705" dataCellStyle="Normal 3"/>
    <tableColumn id="10" name="Total" totalsRowFunction="sum" dataDxfId="1704" totalsRowDxfId="1703" dataCellStyle="Normal 3">
      <calculatedColumnFormula>Tabela46794041[[#This Row],[Quant.]]*Tabela46794041[[#This Row],[Comp. (m)]]</calculatedColumnFormula>
    </tableColumn>
  </tableColumns>
  <tableStyleInfo name="TableStyleLight18" showFirstColumn="0" showLastColumn="0" showRowStripes="0" showColumnStripes="0"/>
</table>
</file>

<file path=xl/tables/table23.xml><?xml version="1.0" encoding="utf-8"?>
<table xmlns="http://schemas.openxmlformats.org/spreadsheetml/2006/main" id="36" name="Tabela4679404116" displayName="Tabela4679404116" ref="B116:K118" totalsRowCount="1" headerRowDxfId="1702" dataDxfId="1700" totalsRowDxfId="1699" headerRowBorderDxfId="1701" dataCellStyle="Vírgula">
  <autoFilter ref="B116:K1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698" totalsRowDxfId="1697"/>
    <tableColumn id="2" name="Descrição / Local" dataDxfId="1696" totalsRowDxfId="1695"/>
    <tableColumn id="3" name="Quant." dataDxfId="1694" totalsRowDxfId="1693" dataCellStyle="Vírgula"/>
    <tableColumn id="4" name="B" dataDxfId="1692" totalsRowDxfId="1691" dataCellStyle="Vírgula"/>
    <tableColumn id="5" name="C" dataDxfId="1690" totalsRowDxfId="1689" dataCellStyle="Vírgula"/>
    <tableColumn id="6" name="D" dataDxfId="1688" totalsRowDxfId="1687" dataCellStyle="Vírgula"/>
    <tableColumn id="7" name="E" dataDxfId="1686" totalsRowDxfId="1685" dataCellStyle="Vírgula"/>
    <tableColumn id="8" name="F" dataDxfId="1684" totalsRowDxfId="1683" dataCellStyle="Vírgula"/>
    <tableColumn id="9" name="G" dataDxfId="1682" totalsRowDxfId="1681" dataCellStyle="Vírgula"/>
    <tableColumn id="10" name="Total" totalsRowFunction="sum" dataDxfId="1680" totalsRowDxfId="1679" dataCellStyle="Vírgula">
      <calculatedColumnFormula>Tabela4679404116[[#This Row],[Quant.]]</calculatedColumnFormula>
    </tableColumn>
  </tableColumns>
  <tableStyleInfo name="TableStyleLight18" showFirstColumn="0" showLastColumn="0" showRowStripes="0" showColumnStripes="0"/>
</table>
</file>

<file path=xl/tables/table24.xml><?xml version="1.0" encoding="utf-8"?>
<table xmlns="http://schemas.openxmlformats.org/spreadsheetml/2006/main" id="38" name="Tabela46794041163138" displayName="Tabela46794041163138" ref="B82:K84" totalsRowCount="1" headerRowDxfId="1678" dataDxfId="1676" totalsRowDxfId="1675" headerRowBorderDxfId="1677" dataCellStyle="Vírgula">
  <autoFilter ref="B82:K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674" totalsRowDxfId="1673"/>
    <tableColumn id="2" name="Descrição / Local" dataDxfId="1672" totalsRowDxfId="1671"/>
    <tableColumn id="3" name="Quant." dataDxfId="1670" totalsRowDxfId="1669" dataCellStyle="Vírgula"/>
    <tableColumn id="4" name="B" dataDxfId="1668" totalsRowDxfId="1667" dataCellStyle="Vírgula"/>
    <tableColumn id="5" name="C" dataDxfId="1666" totalsRowDxfId="1665" dataCellStyle="Vírgula"/>
    <tableColumn id="6" name="D" dataDxfId="1664" totalsRowDxfId="1663" dataCellStyle="Vírgula"/>
    <tableColumn id="7" name="E" dataDxfId="1662" totalsRowDxfId="1661" dataCellStyle="Vírgula"/>
    <tableColumn id="8" name="F" dataDxfId="1660" totalsRowDxfId="1659" dataCellStyle="Vírgula"/>
    <tableColumn id="9" name="G" dataDxfId="1658" totalsRowDxfId="1657" dataCellStyle="Vírgula"/>
    <tableColumn id="10" name="Total" totalsRowFunction="sum" dataDxfId="1656" totalsRowDxfId="1655" dataCellStyle="Vírgula">
      <calculatedColumnFormula>D83</calculatedColumnFormula>
    </tableColumn>
  </tableColumns>
  <tableStyleInfo name="TableStyleLight18" showFirstColumn="0" showLastColumn="0" showRowStripes="0" showColumnStripes="0"/>
</table>
</file>

<file path=xl/tables/table25.xml><?xml version="1.0" encoding="utf-8"?>
<table xmlns="http://schemas.openxmlformats.org/spreadsheetml/2006/main" id="42" name="Tabela467944" displayName="Tabela467944" ref="B472:K474" totalsRowCount="1" headerRowDxfId="1654" dataDxfId="1652" totalsRowDxfId="1651" headerRowBorderDxfId="1653" dataCellStyle="Vírgula">
  <autoFilter ref="B472:K47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650" totalsRowDxfId="1649"/>
    <tableColumn id="2" name="Descrição / Local" dataDxfId="1648" totalsRowDxfId="1647"/>
    <tableColumn id="3" name="Larg. (m)" dataDxfId="1646" totalsRowDxfId="1645" dataCellStyle="Vírgula"/>
    <tableColumn id="4" name="Altura (m)" dataDxfId="1644" totalsRowDxfId="1643" dataCellStyle="Vírgula"/>
    <tableColumn id="5" name="Quant." dataDxfId="1642" totalsRowDxfId="1641" dataCellStyle="Vírgula"/>
    <tableColumn id="6" name="D" dataDxfId="1640" totalsRowDxfId="1639" dataCellStyle="Vírgula"/>
    <tableColumn id="7" name="E" dataDxfId="1638" totalsRowDxfId="1637" dataCellStyle="Vírgula"/>
    <tableColumn id="8" name="F" dataDxfId="1636" totalsRowDxfId="1635" dataCellStyle="Vírgula"/>
    <tableColumn id="9" name="G" dataDxfId="1634" totalsRowDxfId="1633" dataCellStyle="Vírgula"/>
    <tableColumn id="10" name="Total" totalsRowFunction="sum" dataDxfId="1632" totalsRowDxfId="1631" dataCellStyle="Vírgula">
      <calculatedColumnFormula>Tabela467944[[#This Row],[Larg. (m)]]*Tabela467944[[#This Row],[Altura (m)]]*Tabela467944[[#This Row],[Quant.]]</calculatedColumnFormula>
    </tableColumn>
  </tableColumns>
  <tableStyleInfo name="TableStyleLight18" showFirstColumn="0" showLastColumn="0" showRowStripes="0" showColumnStripes="0"/>
</table>
</file>

<file path=xl/tables/table26.xml><?xml version="1.0" encoding="utf-8"?>
<table xmlns="http://schemas.openxmlformats.org/spreadsheetml/2006/main" id="43" name="Tabela467945" displayName="Tabela467945" ref="B478:K480" totalsRowCount="1" headerRowDxfId="1630" dataDxfId="1628" totalsRowDxfId="1627" headerRowBorderDxfId="1629" dataCellStyle="Vírgula">
  <autoFilter ref="B478:K4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626" totalsRowDxfId="1625"/>
    <tableColumn id="2" name="Descrição / Local" dataDxfId="1624" totalsRowDxfId="1623"/>
    <tableColumn id="3" name="Larg. (m)" dataDxfId="1622" totalsRowDxfId="1621" dataCellStyle="Vírgula"/>
    <tableColumn id="4" name="Comp. (m)" dataDxfId="1620" totalsRowDxfId="1619" dataCellStyle="Vírgula"/>
    <tableColumn id="5" name="C" dataDxfId="1618" totalsRowDxfId="1617" dataCellStyle="Vírgula"/>
    <tableColumn id="6" name="D" dataDxfId="1616" totalsRowDxfId="1615" dataCellStyle="Vírgula"/>
    <tableColumn id="7" name="E" dataDxfId="1614" totalsRowDxfId="1613" dataCellStyle="Vírgula"/>
    <tableColumn id="8" name="F" dataDxfId="1612" totalsRowDxfId="1611" dataCellStyle="Vírgula"/>
    <tableColumn id="9" name="G" dataDxfId="1610" totalsRowDxfId="1609" dataCellStyle="Vírgula"/>
    <tableColumn id="10" name="Total" totalsRowFunction="sum" dataDxfId="1608" totalsRowDxfId="1607" dataCellStyle="Vírgula">
      <calculatedColumnFormula>Tabela467945[[#This Row],[Larg. (m)]]*Tabela467945[[#This Row],[Comp. (m)]]</calculatedColumnFormula>
    </tableColumn>
  </tableColumns>
  <tableStyleInfo name="TableStyleLight18" showFirstColumn="0" showLastColumn="0" showRowStripes="0" showColumnStripes="0"/>
</table>
</file>

<file path=xl/tables/table27.xml><?xml version="1.0" encoding="utf-8"?>
<table xmlns="http://schemas.openxmlformats.org/spreadsheetml/2006/main" id="44" name="Tabela467946" displayName="Tabela467946" ref="B432:L457" totalsRowCount="1" headerRowDxfId="1606" dataDxfId="1604" totalsRowDxfId="1603" headerRowBorderDxfId="1605" dataCellStyle="Vírgula">
  <autoFilter ref="B432:L4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Item" totalsRowLabel="Total" dataDxfId="1602" totalsRowDxfId="1601"/>
    <tableColumn id="2" name="Descrição / Local" dataDxfId="1600" totalsRowDxfId="1599"/>
    <tableColumn id="3" name="Larg. (m)" dataDxfId="1598" totalsRowDxfId="1597" dataCellStyle="Vírgula"/>
    <tableColumn id="4" name="Altura (m)" dataDxfId="1596" totalsRowDxfId="1595" dataCellStyle="Vírgula"/>
    <tableColumn id="5" name="Quant." dataDxfId="1594" totalsRowDxfId="1593" dataCellStyle="Vírgula"/>
    <tableColumn id="6" name="D" dataDxfId="1592" totalsRowDxfId="1591" dataCellStyle="Vírgula"/>
    <tableColumn id="7" name="E" dataDxfId="1590" totalsRowDxfId="1589" dataCellStyle="Vírgula"/>
    <tableColumn id="8" name="F" dataDxfId="1588" totalsRowDxfId="1587" dataCellStyle="Vírgula"/>
    <tableColumn id="9" name="G" dataDxfId="1586" totalsRowDxfId="1585" dataCellStyle="Vírgula"/>
    <tableColumn id="10" name="Total" totalsRowFunction="sum" dataDxfId="1584" totalsRowDxfId="1583" dataCellStyle="Vírgula">
      <calculatedColumnFormula>Tabela467946[[#This Row],[Larg. (m)]]*Tabela467946[[#This Row],[Altura (m)]]*Tabela467946[[#This Row],[Quant.]]</calculatedColumnFormula>
    </tableColumn>
    <tableColumn id="11" name="Coluna1" dataDxfId="1582" totalsRowDxfId="1581" dataCellStyle="Vírgula"/>
  </tableColumns>
  <tableStyleInfo name="TableStyleLight18" showFirstColumn="0" showLastColumn="0" showRowStripes="0" showColumnStripes="0"/>
</table>
</file>

<file path=xl/tables/table28.xml><?xml version="1.0" encoding="utf-8"?>
<table xmlns="http://schemas.openxmlformats.org/spreadsheetml/2006/main" id="45" name="Tabela467947" displayName="Tabela467947" ref="B414:K421" totalsRowCount="1" headerRowDxfId="1580" dataDxfId="1578" totalsRowDxfId="1577" headerRowBorderDxfId="1579" dataCellStyle="Vírgula">
  <autoFilter ref="B414:K4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576" totalsRowDxfId="1575"/>
    <tableColumn id="2" name="Descrição / Local" dataDxfId="1574" totalsRowDxfId="1573"/>
    <tableColumn id="3" name="Larg. (m)" dataDxfId="1572" totalsRowDxfId="1571" dataCellStyle="Vírgula"/>
    <tableColumn id="4" name="Comp. (m)" dataDxfId="1570" totalsRowDxfId="1569" dataCellStyle="Vírgula"/>
    <tableColumn id="5" name="C" dataDxfId="1568" totalsRowDxfId="1567" dataCellStyle="Vírgula"/>
    <tableColumn id="6" name="D" dataDxfId="1566" totalsRowDxfId="1565" dataCellStyle="Vírgula"/>
    <tableColumn id="7" name="E" dataDxfId="1564" totalsRowDxfId="1563" dataCellStyle="Vírgula"/>
    <tableColumn id="8" name="F" dataDxfId="1562" totalsRowDxfId="1561" dataCellStyle="Vírgula"/>
    <tableColumn id="9" name="G" dataDxfId="1560" totalsRowDxfId="1559" dataCellStyle="Vírgula"/>
    <tableColumn id="10" name="Total" totalsRowFunction="sum" dataDxfId="1558" totalsRowDxfId="1557" dataCellStyle="Vírgula">
      <calculatedColumnFormula>Tabela467947[[#This Row],[Larg. (m)]]*Tabela467947[[#This Row],[Comp. (m)]]</calculatedColumnFormula>
    </tableColumn>
  </tableColumns>
  <tableStyleInfo name="TableStyleLight18" showFirstColumn="0" showLastColumn="0" showRowStripes="0" showColumnStripes="0"/>
</table>
</file>

<file path=xl/tables/table29.xml><?xml version="1.0" encoding="utf-8"?>
<table xmlns="http://schemas.openxmlformats.org/spreadsheetml/2006/main" id="46" name="Tabela467948" displayName="Tabela467948" ref="B484:K489" totalsRowCount="1" headerRowDxfId="1556" dataDxfId="1554" totalsRowDxfId="1553" headerRowBorderDxfId="1555" dataCellStyle="Vírgula">
  <autoFilter ref="B484:K48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552" totalsRowDxfId="1551"/>
    <tableColumn id="2" name="Descrição / Local" dataDxfId="1550" totalsRowDxfId="1549"/>
    <tableColumn id="3" name="Quant." dataDxfId="1548" totalsRowDxfId="1547" dataCellStyle="Vírgula"/>
    <tableColumn id="4" name="Comp. (m)" dataDxfId="1546" totalsRowDxfId="1545" dataCellStyle="Vírgula"/>
    <tableColumn id="5" name="Larg. (m)" dataDxfId="1544" totalsRowDxfId="1543" dataCellStyle="Vírgula"/>
    <tableColumn id="6" name="Lados" dataDxfId="1542" totalsRowDxfId="1541" dataCellStyle="Vírgula"/>
    <tableColumn id="7" name="E" dataDxfId="1540" totalsRowDxfId="1539" dataCellStyle="Vírgula"/>
    <tableColumn id="8" name="F" dataDxfId="1538" totalsRowDxfId="1537" dataCellStyle="Vírgula"/>
    <tableColumn id="9" name="G" dataDxfId="1536" totalsRowDxfId="1535" dataCellStyle="Vírgula"/>
    <tableColumn id="10" name="Total" totalsRowFunction="sum" dataDxfId="1534" totalsRowDxfId="1533" dataCellStyle="Vírgula">
      <calculatedColumnFormula>Tabela467948[[#This Row],[Quant.]]*Tabela467948[[#This Row],[Comp. (m)]]*Tabela467948[[#This Row],[Larg. (m)]]*Tabela467948[[#This Row],[Lados]]</calculatedColumnFormula>
    </tableColumn>
  </tableColumns>
  <tableStyleInfo name="TableStyleLight18" showFirstColumn="0" showLastColumn="0" showRowStripes="0" showColumnStripes="0"/>
</table>
</file>

<file path=xl/tables/table3.xml><?xml version="1.0" encoding="utf-8"?>
<table xmlns="http://schemas.openxmlformats.org/spreadsheetml/2006/main" id="3" name="Tabela467" displayName="Tabela467" ref="B21:K23" totalsRowCount="1" headerRowDxfId="2181" dataDxfId="2179" totalsRowDxfId="2178" headerRowBorderDxfId="2180" dataCellStyle="Vírgula">
  <autoFilter ref="B21:K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2177" totalsRowDxfId="2176" dataCellStyle="Normal 3"/>
    <tableColumn id="2" name="Descrição / Local" dataDxfId="2175" totalsRowDxfId="2174" dataCellStyle="Normal 3"/>
    <tableColumn id="3" name="horas/dia" dataDxfId="2173" totalsRowDxfId="2172" dataCellStyle="Normal 3"/>
    <tableColumn id="4" name="dias/mês" dataDxfId="2171" totalsRowDxfId="2170" dataCellStyle="Normal 3">
      <calculatedColumnFormula>5*4</calculatedColumnFormula>
    </tableColumn>
    <tableColumn id="5" name="meses" dataDxfId="2169" totalsRowDxfId="2168" dataCellStyle="Normal 3"/>
    <tableColumn id="6" name="D" dataDxfId="2167" totalsRowDxfId="2166" dataCellStyle="Normal 3"/>
    <tableColumn id="7" name="E" dataDxfId="2165" totalsRowDxfId="2164" dataCellStyle="Normal 3"/>
    <tableColumn id="8" name="F" dataDxfId="2163" totalsRowDxfId="2162" dataCellStyle="Normal 3"/>
    <tableColumn id="9" name="G" dataDxfId="2161" totalsRowDxfId="2160" dataCellStyle="Normal 3"/>
    <tableColumn id="10" name="Total" totalsRowFunction="sum" dataDxfId="2159" totalsRowDxfId="2158" dataCellStyle="Normal 3">
      <calculatedColumnFormula>Tabela467[[#This Row],[horas/dia]]*Tabela467[[#This Row],[dias/mês]]*Tabela467[[#This Row],[meses]]</calculatedColumnFormula>
    </tableColumn>
  </tableColumns>
  <tableStyleInfo name="TableStyleLight18" showFirstColumn="0" showLastColumn="0" showRowStripes="0" showColumnStripes="0"/>
</table>
</file>

<file path=xl/tables/table30.xml><?xml version="1.0" encoding="utf-8"?>
<table xmlns="http://schemas.openxmlformats.org/spreadsheetml/2006/main" id="47" name="Tabela467949" displayName="Tabela467949" ref="B493:K498" totalsRowCount="1" headerRowDxfId="1532" dataDxfId="1530" totalsRowDxfId="1529" headerRowBorderDxfId="1531" dataCellStyle="Vírgula">
  <autoFilter ref="B493:K4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528" totalsRowDxfId="1527"/>
    <tableColumn id="2" name="Descrição / Local" dataDxfId="1526" totalsRowDxfId="1525"/>
    <tableColumn id="3" name="Quant." dataDxfId="1524" totalsRowDxfId="1523" dataCellStyle="Vírgula"/>
    <tableColumn id="4" name="Comp. (m)" dataDxfId="1522" totalsRowDxfId="1521" dataCellStyle="Vírgula"/>
    <tableColumn id="5" name="Larg. (m)" dataDxfId="1520" totalsRowDxfId="1519" dataCellStyle="Vírgula"/>
    <tableColumn id="6" name="Lados" dataDxfId="1518" totalsRowDxfId="1517" dataCellStyle="Vírgula"/>
    <tableColumn id="7" name="E" dataDxfId="1516" totalsRowDxfId="1515" dataCellStyle="Vírgula"/>
    <tableColumn id="8" name="F" dataDxfId="1514" totalsRowDxfId="1513" dataCellStyle="Vírgula"/>
    <tableColumn id="9" name="G" dataDxfId="1512" totalsRowDxfId="1511" dataCellStyle="Vírgula"/>
    <tableColumn id="10" name="Total" totalsRowFunction="sum" dataDxfId="1510" totalsRowDxfId="1509" dataCellStyle="Vírgula">
      <calculatedColumnFormula>Tabela467949[[#This Row],[Quant.]]*Tabela467949[[#This Row],[Comp. (m)]]*Tabela467949[[#This Row],[Larg. (m)]]*Tabela467949[[#This Row],[Lados]]</calculatedColumnFormula>
    </tableColumn>
  </tableColumns>
  <tableStyleInfo name="TableStyleLight18" showFirstColumn="0" showLastColumn="0" showRowStripes="0" showColumnStripes="0"/>
</table>
</file>

<file path=xl/tables/table31.xml><?xml version="1.0" encoding="utf-8"?>
<table xmlns="http://schemas.openxmlformats.org/spreadsheetml/2006/main" id="66" name="Tabela467968" displayName="Tabela467968" ref="B203:K205" totalsRowCount="1" headerRowDxfId="1508" dataDxfId="1506" totalsRowDxfId="1505" headerRowBorderDxfId="1507" dataCellStyle="Vírgula">
  <autoFilter ref="B203:K2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504" totalsRowDxfId="1503" dataCellStyle="Normal 3"/>
    <tableColumn id="2" name="Descrição / Local" dataDxfId="1502" totalsRowDxfId="1501" dataCellStyle="Normal 3"/>
    <tableColumn id="3" name="Àrea(m²)" dataDxfId="1500" totalsRowDxfId="1499" dataCellStyle="Normal 3"/>
    <tableColumn id="4" name="B" dataDxfId="1498" totalsRowDxfId="1497" dataCellStyle="Normal 3"/>
    <tableColumn id="5" name="C" dataDxfId="1496" totalsRowDxfId="1495" dataCellStyle="Normal 3"/>
    <tableColumn id="6" name="D" dataDxfId="1494" totalsRowDxfId="1493" dataCellStyle="Normal 3"/>
    <tableColumn id="7" name="E" dataDxfId="1492" totalsRowDxfId="1491" dataCellStyle="Normal 3"/>
    <tableColumn id="8" name="F" dataDxfId="1490" totalsRowDxfId="1489" dataCellStyle="Normal 3"/>
    <tableColumn id="9" name="G" dataDxfId="1488" totalsRowDxfId="1487" dataCellStyle="Normal 3"/>
    <tableColumn id="10" name="Total" totalsRowFunction="sum" dataDxfId="1486" totalsRowDxfId="1485" dataCellStyle="Normal 3">
      <calculatedColumnFormula>Tabela467968[[#This Row],[Àrea(m²)]]</calculatedColumnFormula>
    </tableColumn>
  </tableColumns>
  <tableStyleInfo name="TableStyleLight18" showFirstColumn="0" showLastColumn="0" showRowStripes="0" showColumnStripes="0"/>
</table>
</file>

<file path=xl/tables/table32.xml><?xml version="1.0" encoding="utf-8"?>
<table xmlns="http://schemas.openxmlformats.org/spreadsheetml/2006/main" id="67" name="Tabela467970" displayName="Tabela467970" ref="B359:K362" totalsRowCount="1" headerRowDxfId="1484" dataDxfId="1482" totalsRowDxfId="1481" headerRowBorderDxfId="1483" dataCellStyle="Vírgula">
  <autoFilter ref="B359:K3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480" totalsRowDxfId="1479"/>
    <tableColumn id="2" name="Descrição / Local" dataDxfId="1478" totalsRowDxfId="1477"/>
    <tableColumn id="3" name="Comp. (m)" dataDxfId="1476" totalsRowDxfId="1475" dataCellStyle="Vírgula"/>
    <tableColumn id="4" name="B" dataDxfId="1474" totalsRowDxfId="1473" dataCellStyle="Vírgula"/>
    <tableColumn id="5" name="C" dataDxfId="1472" totalsRowDxfId="1471" dataCellStyle="Vírgula"/>
    <tableColumn id="6" name="D" dataDxfId="1470" totalsRowDxfId="1469" dataCellStyle="Vírgula"/>
    <tableColumn id="7" name="E" dataDxfId="1468" totalsRowDxfId="1467" dataCellStyle="Vírgula"/>
    <tableColumn id="8" name="F" dataDxfId="1466" totalsRowDxfId="1465" dataCellStyle="Vírgula"/>
    <tableColumn id="9" name="G" dataDxfId="1464" totalsRowDxfId="1463" dataCellStyle="Vírgula"/>
    <tableColumn id="10" name="Total" totalsRowFunction="sum" dataDxfId="1462" totalsRowDxfId="1461" dataCellStyle="Vírgula">
      <calculatedColumnFormula>D360</calculatedColumnFormula>
    </tableColumn>
  </tableColumns>
  <tableStyleInfo name="TableStyleLight18" showFirstColumn="0" showLastColumn="0" showRowStripes="0" showColumnStripes="0"/>
</table>
</file>

<file path=xl/tables/table33.xml><?xml version="1.0" encoding="utf-8"?>
<table xmlns="http://schemas.openxmlformats.org/spreadsheetml/2006/main" id="71" name="Tabela467969" displayName="Tabela467969" ref="B255:K272" totalsRowCount="1" headerRowDxfId="1460" dataDxfId="1458" totalsRowDxfId="1457" headerRowBorderDxfId="1459" dataCellStyle="Vírgula">
  <autoFilter ref="B255:K27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456" totalsRowDxfId="1455"/>
    <tableColumn id="2" name="Descrição / Local" dataDxfId="1454" totalsRowDxfId="1453"/>
    <tableColumn id="3" name="Pontos" dataDxfId="1452" totalsRowDxfId="1451" dataCellStyle="Vírgula"/>
    <tableColumn id="4" name="m/ponto" dataDxfId="1450" totalsRowDxfId="1449" dataCellStyle="Vírgula"/>
    <tableColumn id="5" name="C" dataDxfId="1448" totalsRowDxfId="1447" dataCellStyle="Vírgula"/>
    <tableColumn id="6" name="D" dataDxfId="1446" totalsRowDxfId="1445" dataCellStyle="Vírgula"/>
    <tableColumn id="7" name="E" dataDxfId="1444" totalsRowDxfId="1443" dataCellStyle="Vírgula"/>
    <tableColumn id="8" name="F" dataDxfId="1442" totalsRowDxfId="1441" dataCellStyle="Vírgula"/>
    <tableColumn id="9" name="G" dataDxfId="1440" totalsRowDxfId="1439" dataCellStyle="Vírgula"/>
    <tableColumn id="10" name="Total" totalsRowFunction="sum" dataDxfId="1438" totalsRowDxfId="1437" dataCellStyle="Vírgula">
      <calculatedColumnFormula>Tabela467969[[#This Row],[Pontos]]*Tabela467969[[#This Row],[m/ponto]]</calculatedColumnFormula>
    </tableColumn>
  </tableColumns>
  <tableStyleInfo name="TableStyleLight18" showFirstColumn="0" showLastColumn="0" showRowStripes="0" showColumnStripes="0"/>
</table>
</file>

<file path=xl/tables/table34.xml><?xml version="1.0" encoding="utf-8"?>
<table xmlns="http://schemas.openxmlformats.org/spreadsheetml/2006/main" id="72" name="Tabela467977" displayName="Tabela467977" ref="B366:K369" totalsRowCount="1" headerRowDxfId="1436" dataDxfId="1434" totalsRowDxfId="1433" headerRowBorderDxfId="1435" dataCellStyle="Vírgula">
  <autoFilter ref="B366:K3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432" totalsRowDxfId="1431"/>
    <tableColumn id="2" name="Descrição / Local" dataDxfId="1430" totalsRowDxfId="1429"/>
    <tableColumn id="3" name="Comp. (m)" dataDxfId="1428" totalsRowDxfId="1427" dataCellStyle="Vírgula"/>
    <tableColumn id="4" name="B" dataDxfId="1426" totalsRowDxfId="1425" dataCellStyle="Vírgula"/>
    <tableColumn id="5" name="C" dataDxfId="1424" totalsRowDxfId="1423" dataCellStyle="Vírgula"/>
    <tableColumn id="6" name="D" dataDxfId="1422" totalsRowDxfId="1421" dataCellStyle="Vírgula"/>
    <tableColumn id="7" name="E" dataDxfId="1420" totalsRowDxfId="1419" dataCellStyle="Vírgula"/>
    <tableColumn id="8" name="F" dataDxfId="1418" totalsRowDxfId="1417" dataCellStyle="Vírgula"/>
    <tableColumn id="9" name="G" dataDxfId="1416" totalsRowDxfId="1415" dataCellStyle="Vírgula"/>
    <tableColumn id="10" name="Total" totalsRowFunction="sum" dataDxfId="1414" totalsRowDxfId="1413" dataCellStyle="Vírgula">
      <calculatedColumnFormula>D367</calculatedColumnFormula>
    </tableColumn>
  </tableColumns>
  <tableStyleInfo name="TableStyleLight18" showFirstColumn="0" showLastColumn="0" showRowStripes="0" showColumnStripes="0"/>
</table>
</file>

<file path=xl/tables/table35.xml><?xml version="1.0" encoding="utf-8"?>
<table xmlns="http://schemas.openxmlformats.org/spreadsheetml/2006/main" id="73" name="Tabela467978" displayName="Tabela467978" ref="B317:K321" totalsRowCount="1" headerRowDxfId="1412" dataDxfId="1410" totalsRowDxfId="1409" headerRowBorderDxfId="1411" dataCellStyle="Vírgula">
  <autoFilter ref="B317:K3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408" totalsRowDxfId="1407"/>
    <tableColumn id="2" name="Descrição / Local" dataDxfId="1406" totalsRowDxfId="1405"/>
    <tableColumn id="3" name="Pontos" dataDxfId="1404" totalsRowDxfId="1403" dataCellStyle="Vírgula"/>
    <tableColumn id="4" name="B" dataDxfId="1402" totalsRowDxfId="1401" dataCellStyle="Vírgula"/>
    <tableColumn id="5" name="C" dataDxfId="1400" totalsRowDxfId="1399" dataCellStyle="Vírgula"/>
    <tableColumn id="6" name="D" dataDxfId="1398" totalsRowDxfId="1397" dataCellStyle="Vírgula"/>
    <tableColumn id="7" name="E" dataDxfId="1396" totalsRowDxfId="1395" dataCellStyle="Vírgula"/>
    <tableColumn id="8" name="F" dataDxfId="1394" totalsRowDxfId="1393" dataCellStyle="Vírgula"/>
    <tableColumn id="9" name="G" dataDxfId="1392" totalsRowDxfId="1391" dataCellStyle="Vírgula"/>
    <tableColumn id="10" name="Total" totalsRowFunction="sum" dataDxfId="1390" totalsRowDxfId="1389" dataCellStyle="Vírgula">
      <calculatedColumnFormula>D318</calculatedColumnFormula>
    </tableColumn>
  </tableColumns>
  <tableStyleInfo name="TableStyleLight18" showFirstColumn="0" showLastColumn="0" showRowStripes="0" showColumnStripes="0"/>
</table>
</file>

<file path=xl/tables/table36.xml><?xml version="1.0" encoding="utf-8"?>
<table xmlns="http://schemas.openxmlformats.org/spreadsheetml/2006/main" id="74" name="Tabela467979" displayName="Tabela467979" ref="B233:K236" totalsRowCount="1" headerRowDxfId="1388" dataDxfId="1386" totalsRowDxfId="1385" headerRowBorderDxfId="1387" dataCellStyle="Vírgula">
  <autoFilter ref="B233:K2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384" totalsRowDxfId="1383" dataCellStyle="Normal 3"/>
    <tableColumn id="2" name="Descrição / Local" dataDxfId="1382" totalsRowDxfId="1381" dataCellStyle="Normal 3"/>
    <tableColumn id="3" name="Pontos" dataDxfId="1380" totalsRowDxfId="1379" dataCellStyle="Normal 3"/>
    <tableColumn id="4" name="m/ponto" dataDxfId="1378" totalsRowDxfId="1377" dataCellStyle="Normal 3"/>
    <tableColumn id="5" name="C" dataDxfId="1376" totalsRowDxfId="1375" dataCellStyle="Normal 3"/>
    <tableColumn id="6" name="D" dataDxfId="1374" totalsRowDxfId="1373" dataCellStyle="Normal 3"/>
    <tableColumn id="7" name="E" dataDxfId="1372" totalsRowDxfId="1371" dataCellStyle="Normal 3"/>
    <tableColumn id="8" name="F" dataDxfId="1370" totalsRowDxfId="1369" dataCellStyle="Normal 3"/>
    <tableColumn id="9" name="G" dataDxfId="1368" totalsRowDxfId="1367" dataCellStyle="Normal 3"/>
    <tableColumn id="10" name="Total" totalsRowFunction="sum" dataDxfId="1366" totalsRowDxfId="1365" dataCellStyle="Normal 3">
      <calculatedColumnFormula>Tabela467979[[#This Row],[Pontos]]*Tabela467979[[#This Row],[m/ponto]]</calculatedColumnFormula>
    </tableColumn>
  </tableColumns>
  <tableStyleInfo name="TableStyleLight18" showFirstColumn="0" showLastColumn="0" showRowStripes="0" showColumnStripes="0"/>
</table>
</file>

<file path=xl/tables/table37.xml><?xml version="1.0" encoding="utf-8"?>
<table xmlns="http://schemas.openxmlformats.org/spreadsheetml/2006/main" id="75" name="Tabela467980" displayName="Tabela467980" ref="B240:K251" totalsRowCount="1" headerRowDxfId="1364" dataDxfId="1362" totalsRowDxfId="1361" headerRowBorderDxfId="1363" dataCellStyle="Vírgula">
  <autoFilter ref="B240:K2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360" totalsRowDxfId="1359" dataCellStyle="Normal 3"/>
    <tableColumn id="2" name="Descrição / Local" dataDxfId="1358" totalsRowDxfId="1357" dataCellStyle="Normal 3"/>
    <tableColumn id="3" name="Pontos" dataDxfId="1356" totalsRowDxfId="1355" dataCellStyle="Normal 3"/>
    <tableColumn id="4" name="m/ponto" dataDxfId="1354" totalsRowDxfId="1353" dataCellStyle="Normal 3"/>
    <tableColumn id="5" name="C" dataDxfId="1352" totalsRowDxfId="1351" dataCellStyle="Normal 3"/>
    <tableColumn id="6" name="D" dataDxfId="1350" totalsRowDxfId="1349" dataCellStyle="Normal 3"/>
    <tableColumn id="7" name="E" dataDxfId="1348" totalsRowDxfId="1347" dataCellStyle="Normal 3"/>
    <tableColumn id="8" name="F" dataDxfId="1346" totalsRowDxfId="1345" dataCellStyle="Normal 3"/>
    <tableColumn id="9" name="G" dataDxfId="1344" totalsRowDxfId="1343" dataCellStyle="Normal 3"/>
    <tableColumn id="10" name="Total" totalsRowFunction="sum" dataDxfId="1342" totalsRowDxfId="1341" dataCellStyle="Normal 3">
      <calculatedColumnFormula>Tabela467980[[#This Row],[Pontos]]*Tabela467980[[#This Row],[m/ponto]]</calculatedColumnFormula>
    </tableColumn>
  </tableColumns>
  <tableStyleInfo name="TableStyleLight18" showFirstColumn="0" showLastColumn="0" showRowStripes="0" showColumnStripes="0"/>
</table>
</file>

<file path=xl/tables/table38.xml><?xml version="1.0" encoding="utf-8"?>
<table xmlns="http://schemas.openxmlformats.org/spreadsheetml/2006/main" id="76" name="Tabela467981" displayName="Tabela467981" ref="B296:K305" totalsRowCount="1" headerRowDxfId="1340" dataDxfId="1338" totalsRowDxfId="1337" headerRowBorderDxfId="1339" dataCellStyle="Vírgula">
  <autoFilter ref="B296:K3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336" totalsRowDxfId="1335"/>
    <tableColumn id="2" name="Descrição / Local" dataDxfId="1334" totalsRowDxfId="1333"/>
    <tableColumn id="3" name="Quant." dataDxfId="1332" totalsRowDxfId="1331" dataCellStyle="Vírgula"/>
    <tableColumn id="4" name="B" dataDxfId="1330" totalsRowDxfId="1329" dataCellStyle="Vírgula"/>
    <tableColumn id="5" name="C" dataDxfId="1328" totalsRowDxfId="1327" dataCellStyle="Vírgula"/>
    <tableColumn id="6" name="D" dataDxfId="1326" totalsRowDxfId="1325" dataCellStyle="Vírgula"/>
    <tableColumn id="7" name="E" dataDxfId="1324" totalsRowDxfId="1323" dataCellStyle="Vírgula"/>
    <tableColumn id="8" name="F" dataDxfId="1322" totalsRowDxfId="1321" dataCellStyle="Vírgula"/>
    <tableColumn id="9" name="G" dataDxfId="1320" totalsRowDxfId="1319" dataCellStyle="Vírgula"/>
    <tableColumn id="10" name="Total" totalsRowFunction="sum" dataDxfId="1318" totalsRowDxfId="1317" dataCellStyle="Vírgula">
      <calculatedColumnFormula>D297</calculatedColumnFormula>
    </tableColumn>
  </tableColumns>
  <tableStyleInfo name="TableStyleLight18" showFirstColumn="0" showLastColumn="0" showRowStripes="0" showColumnStripes="0"/>
</table>
</file>

<file path=xl/tables/table39.xml><?xml version="1.0" encoding="utf-8"?>
<table xmlns="http://schemas.openxmlformats.org/spreadsheetml/2006/main" id="77" name="Tabela467982" displayName="Tabela467982" ref="B373:K375" totalsRowCount="1" headerRowDxfId="1316" dataDxfId="1314" totalsRowDxfId="1313" headerRowBorderDxfId="1315" dataCellStyle="Vírgula">
  <autoFilter ref="B373:K3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312" totalsRowDxfId="1311"/>
    <tableColumn id="2" name="Descrição / Local" dataDxfId="1310" totalsRowDxfId="1309"/>
    <tableColumn id="3" name="Quant." dataDxfId="1308" totalsRowDxfId="1307" dataCellStyle="Vírgula"/>
    <tableColumn id="4" name="B" dataDxfId="1306" totalsRowDxfId="1305" dataCellStyle="Vírgula"/>
    <tableColumn id="5" name="C" dataDxfId="1304" totalsRowDxfId="1303" dataCellStyle="Vírgula"/>
    <tableColumn id="6" name="D" dataDxfId="1302" totalsRowDxfId="1301" dataCellStyle="Vírgula"/>
    <tableColumn id="7" name="E" dataDxfId="1300" totalsRowDxfId="1299" dataCellStyle="Vírgula"/>
    <tableColumn id="8" name="F" dataDxfId="1298" totalsRowDxfId="1297" dataCellStyle="Vírgula"/>
    <tableColumn id="9" name="G" dataDxfId="1296" totalsRowDxfId="1295" dataCellStyle="Vírgula"/>
    <tableColumn id="10" name="Total" totalsRowFunction="sum" dataDxfId="1294" totalsRowDxfId="1293" dataCellStyle="Vírgula">
      <calculatedColumnFormula>D374</calculatedColumnFormula>
    </tableColumn>
  </tableColumns>
  <tableStyleInfo name="TableStyleLight18" showFirstColumn="0" showLastColumn="0" showRowStripes="0" showColumnStripes="0"/>
</table>
</file>

<file path=xl/tables/table4.xml><?xml version="1.0" encoding="utf-8"?>
<table xmlns="http://schemas.openxmlformats.org/spreadsheetml/2006/main" id="4" name="Tabela4678" displayName="Tabela4678" ref="B15:K17" totalsRowCount="1" headerRowDxfId="2157" dataDxfId="2155" totalsRowDxfId="2154" headerRowBorderDxfId="2156" dataCellStyle="Vírgula">
  <autoFilter ref="B15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2153" totalsRowDxfId="2152" dataCellStyle="Normal 3"/>
    <tableColumn id="2" name="Descrição / Local" dataDxfId="2151" totalsRowDxfId="2150" dataCellStyle="Normal 3"/>
    <tableColumn id="3" name="horas/dia" dataDxfId="2149" totalsRowDxfId="2148" dataCellStyle="Normal 3"/>
    <tableColumn id="4" name="dias/mês" dataDxfId="2147" totalsRowDxfId="2146" dataCellStyle="Normal 3"/>
    <tableColumn id="5" name="meses" dataDxfId="2145" totalsRowDxfId="2144" dataCellStyle="Normal 3"/>
    <tableColumn id="6" name="D" dataDxfId="2143" totalsRowDxfId="2142" dataCellStyle="Normal 3"/>
    <tableColumn id="7" name="E" dataDxfId="2141" totalsRowDxfId="2140" dataCellStyle="Normal 3"/>
    <tableColumn id="8" name="F" dataDxfId="2139" totalsRowDxfId="2138" dataCellStyle="Normal 3"/>
    <tableColumn id="9" name="G" dataDxfId="2137" totalsRowDxfId="2136" dataCellStyle="Normal 3"/>
    <tableColumn id="10" name="Total" totalsRowFunction="sum" dataDxfId="2135" totalsRowDxfId="2134" dataCellStyle="Normal 3">
      <calculatedColumnFormula>D16*Tabela4678[[#This Row],[dias/mês]]*Tabela4678[[#This Row],[meses]]</calculatedColumnFormula>
    </tableColumn>
  </tableColumns>
  <tableStyleInfo name="TableStyleLight18" showFirstColumn="0" showLastColumn="0" showRowStripes="0" showColumnStripes="0"/>
</table>
</file>

<file path=xl/tables/table40.xml><?xml version="1.0" encoding="utf-8"?>
<table xmlns="http://schemas.openxmlformats.org/spreadsheetml/2006/main" id="78" name="Tabela467983" displayName="Tabela467983" ref="B285:K292" totalsRowCount="1" headerRowDxfId="1292" dataDxfId="1290" totalsRowDxfId="1289" headerRowBorderDxfId="1291" dataCellStyle="Vírgula">
  <autoFilter ref="B285:K2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288" totalsRowDxfId="1287"/>
    <tableColumn id="2" name="Descrição / Local" dataDxfId="1286" totalsRowDxfId="1285"/>
    <tableColumn id="3" name="Quant." dataDxfId="1284" totalsRowDxfId="1283" dataCellStyle="Vírgula"/>
    <tableColumn id="4" name="B" dataDxfId="1282" totalsRowDxfId="1281" dataCellStyle="Vírgula"/>
    <tableColumn id="5" name="C" dataDxfId="1280" totalsRowDxfId="1279" dataCellStyle="Vírgula"/>
    <tableColumn id="6" name="D" dataDxfId="1278" totalsRowDxfId="1277" dataCellStyle="Vírgula"/>
    <tableColumn id="7" name="E" dataDxfId="1276" totalsRowDxfId="1275" dataCellStyle="Vírgula"/>
    <tableColumn id="8" name="F" dataDxfId="1274" totalsRowDxfId="1273" dataCellStyle="Vírgula"/>
    <tableColumn id="9" name="G" dataDxfId="1272" totalsRowDxfId="1271" dataCellStyle="Vírgula"/>
    <tableColumn id="10" name="Total" totalsRowFunction="sum" dataDxfId="1270" totalsRowDxfId="1269" dataCellStyle="Vírgula">
      <calculatedColumnFormula>D286</calculatedColumnFormula>
    </tableColumn>
  </tableColumns>
  <tableStyleInfo name="TableStyleLight18" showFirstColumn="0" showLastColumn="0" showRowStripes="0" showColumnStripes="0"/>
</table>
</file>

<file path=xl/tables/table41.xml><?xml version="1.0" encoding="utf-8"?>
<table xmlns="http://schemas.openxmlformats.org/spreadsheetml/2006/main" id="79" name="Tabela467985" displayName="Tabela467985" ref="B379:K383" totalsRowCount="1" headerRowDxfId="1268" dataDxfId="1266" totalsRowDxfId="1265" headerRowBorderDxfId="1267" dataCellStyle="Vírgula">
  <autoFilter ref="B379:K38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264" totalsRowDxfId="1263"/>
    <tableColumn id="2" name="Descrição / Local" dataDxfId="1262" totalsRowDxfId="1261"/>
    <tableColumn id="3" name="Quant." dataDxfId="1260" totalsRowDxfId="1259" dataCellStyle="Vírgula"/>
    <tableColumn id="4" name="B" dataDxfId="1258" totalsRowDxfId="1257" dataCellStyle="Vírgula"/>
    <tableColumn id="5" name="C" dataDxfId="1256" totalsRowDxfId="1255" dataCellStyle="Vírgula"/>
    <tableColumn id="6" name="D" dataDxfId="1254" totalsRowDxfId="1253" dataCellStyle="Vírgula"/>
    <tableColumn id="7" name="E" dataDxfId="1252" totalsRowDxfId="1251" dataCellStyle="Vírgula"/>
    <tableColumn id="8" name="F" dataDxfId="1250" totalsRowDxfId="1249" dataCellStyle="Vírgula"/>
    <tableColumn id="9" name="G" dataDxfId="1248" totalsRowDxfId="1247" dataCellStyle="Vírgula"/>
    <tableColumn id="10" name="Total" totalsRowFunction="sum" dataDxfId="1246" totalsRowDxfId="1245" dataCellStyle="Vírgula">
      <calculatedColumnFormula>D380</calculatedColumnFormula>
    </tableColumn>
  </tableColumns>
  <tableStyleInfo name="TableStyleLight18" showFirstColumn="0" showLastColumn="0" showRowStripes="0" showColumnStripes="0"/>
</table>
</file>

<file path=xl/tables/table42.xml><?xml version="1.0" encoding="utf-8"?>
<table xmlns="http://schemas.openxmlformats.org/spreadsheetml/2006/main" id="80" name="Tabela467986" displayName="Tabela467986" ref="B387:K389" totalsRowCount="1" headerRowDxfId="1244" dataDxfId="1242" totalsRowDxfId="1241" headerRowBorderDxfId="1243" dataCellStyle="Vírgula">
  <autoFilter ref="B387:K38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240" totalsRowDxfId="1239"/>
    <tableColumn id="2" name="Descrição / Local" dataDxfId="1238" totalsRowDxfId="1237"/>
    <tableColumn id="3" name="Quant." dataDxfId="1236" totalsRowDxfId="1235" dataCellStyle="Vírgula"/>
    <tableColumn id="4" name="B" dataDxfId="1234" totalsRowDxfId="1233" dataCellStyle="Vírgula"/>
    <tableColumn id="5" name="C" dataDxfId="1232" totalsRowDxfId="1231" dataCellStyle="Vírgula"/>
    <tableColumn id="6" name="D" dataDxfId="1230" totalsRowDxfId="1229" dataCellStyle="Vírgula"/>
    <tableColumn id="7" name="E" dataDxfId="1228" totalsRowDxfId="1227" dataCellStyle="Vírgula"/>
    <tableColumn id="8" name="F" dataDxfId="1226" totalsRowDxfId="1225" dataCellStyle="Vírgula"/>
    <tableColumn id="9" name="G" dataDxfId="1224" totalsRowDxfId="1223" dataCellStyle="Vírgula"/>
    <tableColumn id="10" name="Total" totalsRowFunction="sum" dataDxfId="1222" totalsRowDxfId="1221" dataCellStyle="Vírgula">
      <calculatedColumnFormula>D388</calculatedColumnFormula>
    </tableColumn>
  </tableColumns>
  <tableStyleInfo name="TableStyleLight18" showFirstColumn="0" showLastColumn="0" showRowStripes="0" showColumnStripes="0"/>
</table>
</file>

<file path=xl/tables/table43.xml><?xml version="1.0" encoding="utf-8"?>
<table xmlns="http://schemas.openxmlformats.org/spreadsheetml/2006/main" id="81" name="Tabela467987" displayName="Tabela467987" ref="B393:K395" totalsRowCount="1" headerRowDxfId="1220" dataDxfId="1218" totalsRowDxfId="1217" headerRowBorderDxfId="1219" dataCellStyle="Vírgula">
  <autoFilter ref="B393:K39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216" totalsRowDxfId="1215"/>
    <tableColumn id="2" name="Descrição / Local" dataDxfId="1214" totalsRowDxfId="1213"/>
    <tableColumn id="3" name="Quant." dataDxfId="1212" totalsRowDxfId="1211" dataCellStyle="Vírgula"/>
    <tableColumn id="4" name="B" dataDxfId="1210" totalsRowDxfId="1209" dataCellStyle="Vírgula"/>
    <tableColumn id="5" name="C" dataDxfId="1208" totalsRowDxfId="1207" dataCellStyle="Vírgula"/>
    <tableColumn id="6" name="D" dataDxfId="1206" totalsRowDxfId="1205" dataCellStyle="Vírgula"/>
    <tableColumn id="7" name="E" dataDxfId="1204" totalsRowDxfId="1203" dataCellStyle="Vírgula"/>
    <tableColumn id="8" name="F" dataDxfId="1202" totalsRowDxfId="1201" dataCellStyle="Vírgula"/>
    <tableColumn id="9" name="G" dataDxfId="1200" totalsRowDxfId="1199" dataCellStyle="Vírgula"/>
    <tableColumn id="10" name="Total" totalsRowFunction="sum" dataDxfId="1198" totalsRowDxfId="1197" dataCellStyle="Vírgula">
      <calculatedColumnFormula>D394</calculatedColumnFormula>
    </tableColumn>
  </tableColumns>
  <tableStyleInfo name="TableStyleLight18" showFirstColumn="0" showLastColumn="0" showRowStripes="0" showColumnStripes="0"/>
</table>
</file>

<file path=xl/tables/table44.xml><?xml version="1.0" encoding="utf-8"?>
<table xmlns="http://schemas.openxmlformats.org/spreadsheetml/2006/main" id="82" name="Tabela467988" displayName="Tabela467988" ref="B399:K401" totalsRowCount="1" headerRowDxfId="1196" dataDxfId="1194" totalsRowDxfId="1193" headerRowBorderDxfId="1195" dataCellStyle="Vírgula">
  <autoFilter ref="B399:K4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192" totalsRowDxfId="1191"/>
    <tableColumn id="2" name="Descrição / Local" dataDxfId="1190" totalsRowDxfId="1189"/>
    <tableColumn id="3" name="Quant." dataDxfId="1188" totalsRowDxfId="1187" dataCellStyle="Vírgula"/>
    <tableColumn id="4" name="B" dataDxfId="1186" totalsRowDxfId="1185" dataCellStyle="Vírgula"/>
    <tableColumn id="5" name="C" dataDxfId="1184" totalsRowDxfId="1183" dataCellStyle="Vírgula"/>
    <tableColumn id="6" name="D" dataDxfId="1182" totalsRowDxfId="1181" dataCellStyle="Vírgula"/>
    <tableColumn id="7" name="E" dataDxfId="1180" totalsRowDxfId="1179" dataCellStyle="Vírgula"/>
    <tableColumn id="8" name="F" dataDxfId="1178" totalsRowDxfId="1177" dataCellStyle="Vírgula"/>
    <tableColumn id="9" name="G" dataDxfId="1176" totalsRowDxfId="1175" dataCellStyle="Vírgula"/>
    <tableColumn id="10" name="Total" totalsRowFunction="sum" dataDxfId="1174" totalsRowDxfId="1173" dataCellStyle="Vírgula">
      <calculatedColumnFormula>D400</calculatedColumnFormula>
    </tableColumn>
  </tableColumns>
  <tableStyleInfo name="TableStyleLight18" showFirstColumn="0" showLastColumn="0" showRowStripes="0" showColumnStripes="0"/>
</table>
</file>

<file path=xl/tables/table45.xml><?xml version="1.0" encoding="utf-8"?>
<table xmlns="http://schemas.openxmlformats.org/spreadsheetml/2006/main" id="85" name="Tabela467991" displayName="Tabela467991" ref="B276:K281" totalsRowCount="1" headerRowDxfId="1172" dataDxfId="1170" totalsRowDxfId="1169" headerRowBorderDxfId="1171" dataCellStyle="Vírgula">
  <autoFilter ref="B276:K28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168" totalsRowDxfId="1167"/>
    <tableColumn id="2" name="Descrição / Local" dataDxfId="1166" totalsRowDxfId="1165"/>
    <tableColumn id="3" name="Quant." dataDxfId="1164" totalsRowDxfId="1163" dataCellStyle="Vírgula"/>
    <tableColumn id="4" name="B" dataDxfId="1162" totalsRowDxfId="1161" dataCellStyle="Vírgula"/>
    <tableColumn id="5" name="C" dataDxfId="1160" totalsRowDxfId="1159" dataCellStyle="Vírgula"/>
    <tableColumn id="6" name="D" dataDxfId="1158" totalsRowDxfId="1157" dataCellStyle="Vírgula"/>
    <tableColumn id="7" name="E" dataDxfId="1156" totalsRowDxfId="1155" dataCellStyle="Vírgula"/>
    <tableColumn id="8" name="F" dataDxfId="1154" totalsRowDxfId="1153" dataCellStyle="Vírgula"/>
    <tableColumn id="9" name="G" dataDxfId="1152" totalsRowDxfId="1151" dataCellStyle="Vírgula"/>
    <tableColumn id="10" name="Total" totalsRowFunction="sum" dataDxfId="1150" totalsRowDxfId="1149" dataCellStyle="Vírgula">
      <calculatedColumnFormula>D277</calculatedColumnFormula>
    </tableColumn>
  </tableColumns>
  <tableStyleInfo name="TableStyleLight18" showFirstColumn="0" showLastColumn="0" showRowStripes="0" showColumnStripes="0"/>
</table>
</file>

<file path=xl/tables/table46.xml><?xml version="1.0" encoding="utf-8"?>
<table xmlns="http://schemas.openxmlformats.org/spreadsheetml/2006/main" id="86" name="Tabela467992" displayName="Tabela467992" ref="B344:K349" totalsRowCount="1" headerRowDxfId="1148" dataDxfId="1146" totalsRowDxfId="1145" headerRowBorderDxfId="1147" dataCellStyle="Vírgula">
  <autoFilter ref="B344:K3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144" totalsRowDxfId="1143"/>
    <tableColumn id="2" name="Descrição / Local" dataDxfId="1142" totalsRowDxfId="1141"/>
    <tableColumn id="3" name="Quant." dataDxfId="1140" totalsRowDxfId="1139" dataCellStyle="Vírgula"/>
    <tableColumn id="4" name="B" dataDxfId="1138" totalsRowDxfId="1137" dataCellStyle="Vírgula"/>
    <tableColumn id="5" name="C" dataDxfId="1136" totalsRowDxfId="1135" dataCellStyle="Vírgula"/>
    <tableColumn id="6" name="D" dataDxfId="1134" totalsRowDxfId="1133" dataCellStyle="Vírgula"/>
    <tableColumn id="7" name="E" dataDxfId="1132" totalsRowDxfId="1131" dataCellStyle="Vírgula"/>
    <tableColumn id="8" name="F" dataDxfId="1130" totalsRowDxfId="1129" dataCellStyle="Vírgula"/>
    <tableColumn id="9" name="G" dataDxfId="1128" totalsRowDxfId="1127" dataCellStyle="Vírgula"/>
    <tableColumn id="10" name="Total" totalsRowFunction="sum" dataDxfId="1126" totalsRowDxfId="1125" dataCellStyle="Vírgula">
      <calculatedColumnFormula>D345</calculatedColumnFormula>
    </tableColumn>
  </tableColumns>
  <tableStyleInfo name="TableStyleLight18" showFirstColumn="0" showLastColumn="0" showRowStripes="0" showColumnStripes="0"/>
</table>
</file>

<file path=xl/tables/table47.xml><?xml version="1.0" encoding="utf-8"?>
<table xmlns="http://schemas.openxmlformats.org/spreadsheetml/2006/main" id="87" name="Tabela467993" displayName="Tabela467993" ref="B325:K329" totalsRowCount="1" headerRowDxfId="1124" dataDxfId="1122" totalsRowDxfId="1121" headerRowBorderDxfId="1123" dataCellStyle="Vírgula">
  <autoFilter ref="B325:K3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120" totalsRowDxfId="1119"/>
    <tableColumn id="2" name="Descrição / Local" dataDxfId="1118" totalsRowDxfId="1117"/>
    <tableColumn id="3" name="Quant." dataDxfId="1116" totalsRowDxfId="1115" dataCellStyle="Vírgula"/>
    <tableColumn id="4" name="m/ponto" dataDxfId="1114" totalsRowDxfId="1113" dataCellStyle="Vírgula"/>
    <tableColumn id="5" name="C" dataDxfId="1112" totalsRowDxfId="1111" dataCellStyle="Vírgula"/>
    <tableColumn id="6" name="D" dataDxfId="1110" totalsRowDxfId="1109" dataCellStyle="Vírgula"/>
    <tableColumn id="7" name="E" dataDxfId="1108" totalsRowDxfId="1107" dataCellStyle="Vírgula"/>
    <tableColumn id="8" name="F" dataDxfId="1106" totalsRowDxfId="1105" dataCellStyle="Vírgula"/>
    <tableColumn id="9" name="G" dataDxfId="1104" totalsRowDxfId="1103" dataCellStyle="Vírgula"/>
    <tableColumn id="10" name="Total" totalsRowFunction="sum" dataDxfId="1102" totalsRowDxfId="1101" dataCellStyle="Vírgula">
      <calculatedColumnFormula>Tabela467993[[#This Row],[Quant.]]*Tabela467993[[#This Row],[m/ponto]]</calculatedColumnFormula>
    </tableColumn>
  </tableColumns>
  <tableStyleInfo name="TableStyleLight18" showFirstColumn="0" showLastColumn="0" showRowStripes="0" showColumnStripes="0"/>
</table>
</file>

<file path=xl/tables/table48.xml><?xml version="1.0" encoding="utf-8"?>
<table xmlns="http://schemas.openxmlformats.org/spreadsheetml/2006/main" id="88" name="Tabela467994" displayName="Tabela467994" ref="B333:K340" totalsRowCount="1" headerRowDxfId="1100" dataDxfId="1098" totalsRowDxfId="1097" headerRowBorderDxfId="1099" dataCellStyle="Vírgula">
  <autoFilter ref="B333:K3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096" totalsRowDxfId="1095"/>
    <tableColumn id="2" name="Descrição / Local" dataDxfId="1094" totalsRowDxfId="1093"/>
    <tableColumn id="3" name="Quant." dataDxfId="1092" totalsRowDxfId="1091" dataCellStyle="Vírgula"/>
    <tableColumn id="4" name="B" dataDxfId="1090" totalsRowDxfId="1089" dataCellStyle="Vírgula"/>
    <tableColumn id="5" name="C" dataDxfId="1088" totalsRowDxfId="1087" dataCellStyle="Vírgula"/>
    <tableColumn id="6" name="D" dataDxfId="1086" totalsRowDxfId="1085" dataCellStyle="Vírgula"/>
    <tableColumn id="7" name="E" dataDxfId="1084" totalsRowDxfId="1083" dataCellStyle="Vírgula"/>
    <tableColumn id="8" name="F" dataDxfId="1082" totalsRowDxfId="1081" dataCellStyle="Vírgula"/>
    <tableColumn id="9" name="G" dataDxfId="1080" totalsRowDxfId="1079" dataCellStyle="Vírgula"/>
    <tableColumn id="10" name="Total" totalsRowFunction="sum" dataDxfId="1078" totalsRowDxfId="1077" dataCellStyle="Vírgula">
      <calculatedColumnFormula>D334</calculatedColumnFormula>
    </tableColumn>
  </tableColumns>
  <tableStyleInfo name="TableStyleLight18" showFirstColumn="0" showLastColumn="0" showRowStripes="0" showColumnStripes="0"/>
</table>
</file>

<file path=xl/tables/table49.xml><?xml version="1.0" encoding="utf-8"?>
<table xmlns="http://schemas.openxmlformats.org/spreadsheetml/2006/main" id="89" name="Tabela467995" displayName="Tabela467995" ref="B353:K355" totalsRowCount="1" headerRowDxfId="1076" dataDxfId="1074" totalsRowDxfId="1073" headerRowBorderDxfId="1075" dataCellStyle="Vírgula">
  <autoFilter ref="B353:K35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1072" totalsRowDxfId="1071" dataCellStyle="Normal 3"/>
    <tableColumn id="2" name="Descrição / Local" dataDxfId="1070" totalsRowDxfId="1069" dataCellStyle="Normal 3"/>
    <tableColumn id="3" name="Quant." dataDxfId="1068" totalsRowDxfId="1067" dataCellStyle="Normal 3"/>
    <tableColumn id="4" name="B" dataDxfId="1066" totalsRowDxfId="1065" dataCellStyle="Normal 3"/>
    <tableColumn id="5" name="C" dataDxfId="1064" totalsRowDxfId="1063" dataCellStyle="Normal 3"/>
    <tableColumn id="6" name="D" dataDxfId="1062" totalsRowDxfId="1061" dataCellStyle="Normal 3"/>
    <tableColumn id="7" name="E" dataDxfId="1060" totalsRowDxfId="1059" dataCellStyle="Normal 3"/>
    <tableColumn id="8" name="F" dataDxfId="1058" totalsRowDxfId="1057" dataCellStyle="Normal 3"/>
    <tableColumn id="9" name="G" dataDxfId="1056" totalsRowDxfId="1055" dataCellStyle="Normal 3"/>
    <tableColumn id="10" name="Total" totalsRowFunction="sum" dataDxfId="1054" totalsRowDxfId="1053" dataCellStyle="Normal 3">
      <calculatedColumnFormula>D354</calculatedColumnFormula>
    </tableColumn>
  </tableColumns>
  <tableStyleInfo name="TableStyleLight18" showFirstColumn="0" showLastColumn="0" showRowStripes="0" showColumnStripes="0"/>
</table>
</file>

<file path=xl/tables/table5.xml><?xml version="1.0" encoding="utf-8"?>
<table xmlns="http://schemas.openxmlformats.org/spreadsheetml/2006/main" id="5" name="Tabela4679" displayName="Tabela4679" ref="B5:K7" totalsRowCount="1" headerRowDxfId="2133" dataDxfId="2131" headerRowBorderDxfId="2132" dataCellStyle="Vírgula">
  <autoFilter ref="B5:K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2130" totalsRowDxfId="2129"/>
    <tableColumn id="2" name="Descrição / Local" dataDxfId="2128" totalsRowDxfId="2127"/>
    <tableColumn id="3" name="A" dataDxfId="2126" totalsRowDxfId="2125" dataCellStyle="Vírgula"/>
    <tableColumn id="4" name="B" dataDxfId="2124" totalsRowDxfId="2123" dataCellStyle="Vírgula"/>
    <tableColumn id="5" name="C" dataDxfId="2122" totalsRowDxfId="2121" dataCellStyle="Vírgula"/>
    <tableColumn id="6" name="D" dataDxfId="2120" totalsRowDxfId="2119" dataCellStyle="Vírgula"/>
    <tableColumn id="7" name="E" dataDxfId="2118" totalsRowDxfId="2117" dataCellStyle="Vírgula"/>
    <tableColumn id="8" name="F" dataDxfId="2116" totalsRowDxfId="2115" dataCellStyle="Vírgula"/>
    <tableColumn id="9" name="G" dataDxfId="2114" totalsRowDxfId="2113" dataCellStyle="Vírgula"/>
    <tableColumn id="10" name="Total" totalsRowFunction="sum" dataDxfId="2112" totalsRowDxfId="2111" dataCellStyle="Vírgula">
      <calculatedColumnFormula>D6</calculatedColumnFormula>
    </tableColumn>
  </tableColumns>
  <tableStyleInfo name="TableStyleLight18" showFirstColumn="0" showLastColumn="0" showRowStripes="0" showColumnStripes="0"/>
</table>
</file>

<file path=xl/tables/table50.xml><?xml version="1.0" encoding="utf-8"?>
<table xmlns="http://schemas.openxmlformats.org/spreadsheetml/2006/main" id="90" name="Tabela46792526282991" displayName="Tabela46792526282991" ref="B39:K45" totalsRowCount="1" headerRowDxfId="1052" dataDxfId="1050" totalsRowDxfId="1049" headerRowBorderDxfId="1051" dataCellStyle="Vírgula">
  <tableColumns count="10">
    <tableColumn id="1" name="Item" totalsRowLabel="Total" dataDxfId="1048" totalsRowDxfId="1047" dataCellStyle="Normal 3"/>
    <tableColumn id="2" name="Descrição / Local" dataDxfId="1046" totalsRowDxfId="1045" dataCellStyle="Normal 3"/>
    <tableColumn id="3" name="Larg. (m)" dataDxfId="1044" totalsRowDxfId="1043" dataCellStyle="Normal 3"/>
    <tableColumn id="4" name="Altura (m)" dataDxfId="1042" totalsRowDxfId="1041" dataCellStyle="Normal 3"/>
    <tableColumn id="5" name="C" dataDxfId="1040" totalsRowDxfId="1039" dataCellStyle="Normal 3"/>
    <tableColumn id="6" name="D" dataDxfId="1038" totalsRowDxfId="1037" dataCellStyle="Normal 3"/>
    <tableColumn id="7" name="E" dataDxfId="1036" totalsRowDxfId="1035" dataCellStyle="Normal 3"/>
    <tableColumn id="8" name="F" dataDxfId="1034" totalsRowDxfId="1033" dataCellStyle="Normal 3"/>
    <tableColumn id="9" name="G" dataDxfId="1032" totalsRowDxfId="1031" dataCellStyle="Normal 3"/>
    <tableColumn id="10" name="Total" totalsRowFunction="sum" dataDxfId="1030" totalsRowDxfId="1029" dataCellStyle="Normal 3">
      <calculatedColumnFormula>Tabela46792526282991[[#This Row],[Larg. (m)]]*Tabela46792526282991[[#This Row],[Altura (m)]]</calculatedColumnFormula>
    </tableColumn>
  </tableColumns>
  <tableStyleInfo name="TableStyleLight18" showFirstColumn="0" showLastColumn="0" showRowStripes="0" showColumnStripes="0"/>
</table>
</file>

<file path=xl/tables/table51.xml><?xml version="1.0" encoding="utf-8"?>
<table xmlns="http://schemas.openxmlformats.org/spreadsheetml/2006/main" id="12" name="Tabela4613" displayName="Tabela4613" ref="B192:K199" totalsRowCount="1" headerRowDxfId="1028" dataDxfId="1026" totalsRowDxfId="1025" headerRowBorderDxfId="1027" dataCellStyle="Vírgula">
  <tableColumns count="10">
    <tableColumn id="1" name="Item" totalsRowLabel="Total" dataDxfId="1024" totalsRowDxfId="1023"/>
    <tableColumn id="2" name="Descrição / Local" dataDxfId="1022" totalsRowDxfId="1021"/>
    <tableColumn id="3" name="Comp. (m)" dataDxfId="1020" totalsRowDxfId="1019" dataCellStyle="Vírgula"/>
    <tableColumn id="4" name="Larg. (m)" dataDxfId="1018" totalsRowDxfId="1017" dataCellStyle="Vírgula"/>
    <tableColumn id="5" name="C" dataDxfId="1016" totalsRowDxfId="1015" dataCellStyle="Vírgula"/>
    <tableColumn id="6" name="D" dataDxfId="1014" totalsRowDxfId="1013" dataCellStyle="Vírgula"/>
    <tableColumn id="7" name="E" dataDxfId="1012" totalsRowDxfId="1011" dataCellStyle="Vírgula"/>
    <tableColumn id="8" name="F" dataDxfId="1010" totalsRowDxfId="1009" dataCellStyle="Vírgula"/>
    <tableColumn id="9" name="G" dataDxfId="1008" totalsRowDxfId="1007" dataCellStyle="Vírgula"/>
    <tableColumn id="10" name="Total" totalsRowFunction="sum" dataDxfId="1006" totalsRowDxfId="1005" dataCellStyle="Vírgula">
      <calculatedColumnFormula>D193*E193</calculatedColumnFormula>
    </tableColumn>
  </tableColumns>
  <tableStyleInfo name="TableStyleLight18" showFirstColumn="0" showLastColumn="0" showRowStripes="0" showColumnStripes="0"/>
</table>
</file>

<file path=xl/tables/table52.xml><?xml version="1.0" encoding="utf-8"?>
<table xmlns="http://schemas.openxmlformats.org/spreadsheetml/2006/main" id="27" name="Tabela46794428" displayName="Tabela46794428" ref="B425:L428" totalsRowCount="1" headerRowDxfId="1004" dataDxfId="1002" totalsRowDxfId="1001" headerRowBorderDxfId="1003" dataCellStyle="Vírgula">
  <tableColumns count="11">
    <tableColumn id="1" name="Item" totalsRowLabel="Total" dataDxfId="1000" totalsRowDxfId="999"/>
    <tableColumn id="2" name="Descrição / Local" dataDxfId="998" totalsRowDxfId="997"/>
    <tableColumn id="3" name="Larg. (m)" dataDxfId="996" totalsRowDxfId="995" dataCellStyle="Vírgula"/>
    <tableColumn id="4" name="Altura (m)" dataDxfId="994" totalsRowDxfId="993" dataCellStyle="Vírgula"/>
    <tableColumn id="5" name="Quant." dataDxfId="992" totalsRowDxfId="991" dataCellStyle="Vírgula"/>
    <tableColumn id="6" name="Área(m²)" dataDxfId="990" totalsRowDxfId="989" dataCellStyle="Vírgula">
      <calculatedColumnFormula>50+38.28</calculatedColumnFormula>
    </tableColumn>
    <tableColumn id="7" name="E" dataDxfId="988" totalsRowDxfId="987" dataCellStyle="Vírgula"/>
    <tableColumn id="8" name="F" dataDxfId="986" totalsRowDxfId="985" dataCellStyle="Vírgula"/>
    <tableColumn id="9" name="G" dataDxfId="984" totalsRowDxfId="983" dataCellStyle="Vírgula"/>
    <tableColumn id="10" name="Total" totalsRowFunction="sum" dataDxfId="982" totalsRowDxfId="981" dataCellStyle="Vírgula">
      <calculatedColumnFormula>Tabela46794428[[#This Row],[Área(m²)]]</calculatedColumnFormula>
    </tableColumn>
    <tableColumn id="11" name="Coluna1" dataDxfId="980" totalsRowDxfId="979" dataCellStyle="Vírgula"/>
  </tableColumns>
  <tableStyleInfo name="TableStyleLight18" showFirstColumn="0" showLastColumn="0" showRowStripes="0" showColumnStripes="0"/>
</table>
</file>

<file path=xl/tables/table53.xml><?xml version="1.0" encoding="utf-8"?>
<table xmlns="http://schemas.openxmlformats.org/spreadsheetml/2006/main" id="31" name="Tabela46794532" displayName="Tabela46794532" ref="B502:K504" totalsRowCount="1" headerRowDxfId="978" dataDxfId="976" totalsRowDxfId="975" headerRowBorderDxfId="977" dataCellStyle="Vírgula">
  <tableColumns count="10">
    <tableColumn id="1" name="Item" totalsRowLabel="Total" dataDxfId="974" totalsRowDxfId="973"/>
    <tableColumn id="2" name="Descrição / Local" dataDxfId="972" totalsRowDxfId="971"/>
    <tableColumn id="3" name="Larg. (m)" dataDxfId="970" totalsRowDxfId="969" dataCellStyle="Vírgula"/>
    <tableColumn id="4" name="Comp. (m)" dataDxfId="968" totalsRowDxfId="967" dataCellStyle="Vírgula"/>
    <tableColumn id="5" name="C" dataDxfId="966" totalsRowDxfId="965" dataCellStyle="Vírgula"/>
    <tableColumn id="6" name="D" dataDxfId="964" totalsRowDxfId="963" dataCellStyle="Vírgula"/>
    <tableColumn id="7" name="E" dataDxfId="962" totalsRowDxfId="961" dataCellStyle="Vírgula"/>
    <tableColumn id="8" name="F" dataDxfId="960" totalsRowDxfId="959" dataCellStyle="Vírgula"/>
    <tableColumn id="9" name="G" dataDxfId="958" totalsRowDxfId="957" dataCellStyle="Vírgula"/>
    <tableColumn id="10" name="Total" totalsRowFunction="sum" dataDxfId="956" totalsRowDxfId="955" dataCellStyle="Vírgula">
      <calculatedColumnFormula>Tabela46794532[[#This Row],[Larg. (m)]]*Tabela46794532[[#This Row],[Comp. (m)]]</calculatedColumnFormula>
    </tableColumn>
  </tableColumns>
  <tableStyleInfo name="TableStyleLight18" showFirstColumn="0" showLastColumn="0" showRowStripes="0" showColumnStripes="0"/>
</table>
</file>

<file path=xl/tables/table54.xml><?xml version="1.0" encoding="utf-8"?>
<table xmlns="http://schemas.openxmlformats.org/spreadsheetml/2006/main" id="32" name="Tabela4679233" displayName="Tabela4679233" ref="B165:K168" totalsRowCount="1" headerRowDxfId="954" dataDxfId="952" totalsRowDxfId="951" headerRowBorderDxfId="953" dataCellStyle="Vírgula">
  <tableColumns count="10">
    <tableColumn id="1" name="Item" totalsRowLabel="Total" dataDxfId="950" totalsRowDxfId="949" dataCellStyle="Normal 3"/>
    <tableColumn id="2" name="Descrição / Local" dataDxfId="948" totalsRowDxfId="947" dataCellStyle="Normal 3"/>
    <tableColumn id="3" name="Und." dataDxfId="946" totalsRowDxfId="945" dataCellStyle="Normal 3"/>
    <tableColumn id="4" name="B" dataDxfId="944" totalsRowDxfId="943" dataCellStyle="Normal 3"/>
    <tableColumn id="5" name="C" dataDxfId="942" totalsRowDxfId="941" dataCellStyle="Normal 3"/>
    <tableColumn id="6" name="D" dataDxfId="940" totalsRowDxfId="939" dataCellStyle="Normal 3"/>
    <tableColumn id="7" name="E" dataDxfId="938" totalsRowDxfId="937" dataCellStyle="Normal 3"/>
    <tableColumn id="8" name="F" dataDxfId="936" totalsRowDxfId="935" dataCellStyle="Normal 3"/>
    <tableColumn id="9" name="G" dataDxfId="934" totalsRowDxfId="933" dataCellStyle="Normal 3"/>
    <tableColumn id="10" name="Total" totalsRowFunction="sum" dataDxfId="932" totalsRowDxfId="931" dataCellStyle="Normal 3">
      <calculatedColumnFormula>Tabela4679233[[#This Row],[Und.]]</calculatedColumnFormula>
    </tableColumn>
  </tableColumns>
  <tableStyleInfo name="TableStyleLight18" showFirstColumn="0" showLastColumn="0" showRowStripes="0" showColumnStripes="0"/>
</table>
</file>

<file path=xl/tables/table55.xml><?xml version="1.0" encoding="utf-8"?>
<table xmlns="http://schemas.openxmlformats.org/spreadsheetml/2006/main" id="40" name="Tabela4679341" displayName="Tabela4679341" ref="B511:K513" totalsRowCount="1" headerRowDxfId="930" dataDxfId="928" totalsRowDxfId="927" headerRowBorderDxfId="929" dataCellStyle="Vírgula">
  <tableColumns count="10">
    <tableColumn id="1" name="Item" totalsRowLabel="Total" dataDxfId="926" totalsRowDxfId="925" dataCellStyle="Normal 3"/>
    <tableColumn id="2" name="Descrição / Local" dataDxfId="924" totalsRowDxfId="923" dataCellStyle="Normal 3"/>
    <tableColumn id="3" name="Área (m²)" dataDxfId="922" totalsRowDxfId="921" dataCellStyle="Normal 3"/>
    <tableColumn id="4" name="B" dataDxfId="920" totalsRowDxfId="919" dataCellStyle="Normal 3"/>
    <tableColumn id="5" name="C" dataDxfId="918" totalsRowDxfId="917" dataCellStyle="Normal 3"/>
    <tableColumn id="6" name="D" dataDxfId="916" totalsRowDxfId="915" dataCellStyle="Normal 3"/>
    <tableColumn id="7" name="E" dataDxfId="914" totalsRowDxfId="913" dataCellStyle="Normal 3"/>
    <tableColumn id="8" name="F" dataDxfId="912" totalsRowDxfId="911" dataCellStyle="Normal 3"/>
    <tableColumn id="9" name="G" dataDxfId="910" totalsRowDxfId="909" dataCellStyle="Normal 3"/>
    <tableColumn id="10" name="Total" totalsRowFunction="sum" dataDxfId="908" totalsRowDxfId="907" dataCellStyle="Normal 3">
      <calculatedColumnFormula>Tabela4679341[[#This Row],[Área (m²)]]</calculatedColumnFormula>
    </tableColumn>
  </tableColumns>
  <tableStyleInfo name="TableStyleLight18" showFirstColumn="0" showLastColumn="0" showRowStripes="0" showColumnStripes="0"/>
</table>
</file>

<file path=xl/tables/table56.xml><?xml version="1.0" encoding="utf-8"?>
<table xmlns="http://schemas.openxmlformats.org/spreadsheetml/2006/main" id="28" name="Tabela46792029" displayName="Tabela46792029" ref="B66:K72" totalsRowCount="1" headerRowDxfId="906" dataDxfId="904" totalsRowDxfId="903" headerRowBorderDxfId="905" dataCellStyle="Vírgula">
  <tableColumns count="10">
    <tableColumn id="1" name="Item" totalsRowLabel="Total" dataDxfId="902" totalsRowDxfId="901" dataCellStyle="Normal 3"/>
    <tableColumn id="2" name="Descrição / Local" dataDxfId="900" totalsRowDxfId="899" dataCellStyle="Normal 3"/>
    <tableColumn id="3" name="Larg. (m)" dataDxfId="898" totalsRowDxfId="897" dataCellStyle="Normal 3"/>
    <tableColumn id="4" name="Altura (m)" dataDxfId="896" totalsRowDxfId="895" dataCellStyle="Normal 3"/>
    <tableColumn id="5" name="Lados" dataDxfId="894" totalsRowDxfId="893" dataCellStyle="Normal 3"/>
    <tableColumn id="6" name="D" dataDxfId="892" totalsRowDxfId="891" dataCellStyle="Normal 3"/>
    <tableColumn id="7" name="E" dataDxfId="890" totalsRowDxfId="889" dataCellStyle="Normal 3"/>
    <tableColumn id="8" name="F" dataDxfId="888" totalsRowDxfId="887" dataCellStyle="Normal 3"/>
    <tableColumn id="9" name="G" dataDxfId="886" totalsRowDxfId="885" dataCellStyle="Normal 3"/>
    <tableColumn id="10" name="Total" totalsRowFunction="sum" dataDxfId="884" totalsRowDxfId="883" dataCellStyle="Vírgula">
      <calculatedColumnFormula>Tabela46792029[[#This Row],[Larg. (m)]]*Tabela46792029[[#This Row],[Altura (m)]]*Tabela46792029[[#This Row],[Lados]]</calculatedColumnFormula>
    </tableColumn>
  </tableColumns>
  <tableStyleInfo name="TableStyleLight18" showFirstColumn="0" showLastColumn="0" showRowStripes="0" showColumnStripes="0"/>
</table>
</file>

<file path=xl/tables/table57.xml><?xml version="1.0" encoding="utf-8"?>
<table xmlns="http://schemas.openxmlformats.org/spreadsheetml/2006/main" id="23" name="Tabela46794041163124" displayName="Tabela46794041163124" ref="B122:K125" totalsRowCount="1" headerRowDxfId="882" dataDxfId="880" totalsRowDxfId="879" headerRowBorderDxfId="881" dataCellStyle="Vírgula">
  <autoFilter ref="B122:K124"/>
  <tableColumns count="10">
    <tableColumn id="1" name="Item" totalsRowLabel="Total" dataDxfId="878" totalsRowDxfId="877"/>
    <tableColumn id="2" name="Descrição / Local" dataDxfId="876" totalsRowDxfId="875"/>
    <tableColumn id="3" name="Quant." dataDxfId="874" totalsRowDxfId="873" dataCellStyle="Vírgula"/>
    <tableColumn id="4" name="B" dataDxfId="872" totalsRowDxfId="871" dataCellStyle="Vírgula"/>
    <tableColumn id="5" name="C" dataDxfId="870" totalsRowDxfId="869" dataCellStyle="Vírgula"/>
    <tableColumn id="6" name="D" dataDxfId="868" totalsRowDxfId="867" dataCellStyle="Vírgula"/>
    <tableColumn id="7" name="E" dataDxfId="866" totalsRowDxfId="865" dataCellStyle="Vírgula"/>
    <tableColumn id="8" name="F" dataDxfId="864" totalsRowDxfId="863" dataCellStyle="Vírgula"/>
    <tableColumn id="9" name="G" dataDxfId="862" totalsRowDxfId="861" dataCellStyle="Vírgula"/>
    <tableColumn id="10" name="Total" totalsRowFunction="sum" dataDxfId="860" totalsRowDxfId="859" dataCellStyle="Vírgula">
      <calculatedColumnFormula>D123</calculatedColumnFormula>
    </tableColumn>
  </tableColumns>
  <tableStyleInfo name="TableStyleLight18" showFirstColumn="0" showLastColumn="0" showRowStripes="0" showColumnStripes="0"/>
</table>
</file>

<file path=xl/tables/table58.xml><?xml version="1.0" encoding="utf-8"?>
<table xmlns="http://schemas.openxmlformats.org/spreadsheetml/2006/main" id="11" name="Tabela4679312" displayName="Tabela4679312" ref="B538:K540" totalsRowCount="1" headerRowDxfId="858" dataDxfId="856" totalsRowDxfId="855" headerRowBorderDxfId="857" dataCellStyle="Vírgula">
  <tableColumns count="10">
    <tableColumn id="1" name="Item" totalsRowLabel="Total" dataDxfId="854" totalsRowDxfId="853" dataCellStyle="Normal 3"/>
    <tableColumn id="2" name="Descrição / Local" dataDxfId="852" totalsRowDxfId="851" dataCellStyle="Normal 3"/>
    <tableColumn id="3" name="Quant." dataDxfId="850" totalsRowDxfId="849" dataCellStyle="Normal 3"/>
    <tableColumn id="4" name="B" dataDxfId="848" totalsRowDxfId="847" dataCellStyle="Normal 3"/>
    <tableColumn id="5" name="C" dataDxfId="846" totalsRowDxfId="845" dataCellStyle="Normal 3"/>
    <tableColumn id="6" name="D" dataDxfId="844" totalsRowDxfId="843" dataCellStyle="Normal 3"/>
    <tableColumn id="7" name="E" dataDxfId="842" totalsRowDxfId="841" dataCellStyle="Normal 3"/>
    <tableColumn id="8" name="F" dataDxfId="840" totalsRowDxfId="839" dataCellStyle="Normal 3"/>
    <tableColumn id="9" name="G" dataDxfId="838" totalsRowDxfId="837" dataCellStyle="Normal 3"/>
    <tableColumn id="10" name="Total" totalsRowFunction="sum" dataDxfId="836" totalsRowDxfId="835" dataCellStyle="Normal 3">
      <calculatedColumnFormula>Tabela4679312[[#This Row],[Quant.]]</calculatedColumnFormula>
    </tableColumn>
  </tableColumns>
  <tableStyleInfo name="TableStyleLight18" showFirstColumn="0" showLastColumn="0" showRowStripes="0" showColumnStripes="0"/>
</table>
</file>

<file path=xl/tables/table59.xml><?xml version="1.0" encoding="utf-8"?>
<table xmlns="http://schemas.openxmlformats.org/spreadsheetml/2006/main" id="25" name="Tabela4679404116312426" displayName="Tabela4679404116312426" ref="B135:K137" totalsRowCount="1" headerRowDxfId="834" dataDxfId="832" totalsRowDxfId="831" headerRowBorderDxfId="833" dataCellStyle="Vírgula">
  <autoFilter ref="B135:K136"/>
  <tableColumns count="10">
    <tableColumn id="1" name="Item" totalsRowLabel="Total" dataDxfId="830" totalsRowDxfId="829"/>
    <tableColumn id="2" name="Descrição / Local" dataDxfId="828" totalsRowDxfId="827"/>
    <tableColumn id="3" name="Quant." dataDxfId="826" totalsRowDxfId="825" dataCellStyle="Vírgula"/>
    <tableColumn id="4" name="B" dataDxfId="824" totalsRowDxfId="823" dataCellStyle="Vírgula"/>
    <tableColumn id="5" name="C" dataDxfId="822" totalsRowDxfId="821" dataCellStyle="Vírgula"/>
    <tableColumn id="6" name="D" dataDxfId="820" totalsRowDxfId="819" dataCellStyle="Vírgula"/>
    <tableColumn id="7" name="E" dataDxfId="818" totalsRowDxfId="817" dataCellStyle="Vírgula"/>
    <tableColumn id="8" name="F" dataDxfId="816" totalsRowDxfId="815" dataCellStyle="Vírgula"/>
    <tableColumn id="9" name="G" dataDxfId="814" totalsRowDxfId="813" dataCellStyle="Vírgula"/>
    <tableColumn id="10" name="Total" totalsRowFunction="sum" dataDxfId="812" totalsRowDxfId="811" dataCellStyle="Vírgula">
      <calculatedColumnFormula>D136</calculatedColumnFormula>
    </tableColumn>
  </tableColumns>
  <tableStyleInfo name="TableStyleLight18" showFirstColumn="0" showLastColumn="0" showRowStripes="0" showColumnStripes="0"/>
</table>
</file>

<file path=xl/tables/table6.xml><?xml version="1.0" encoding="utf-8"?>
<table xmlns="http://schemas.openxmlformats.org/spreadsheetml/2006/main" id="6" name="Tabela467910" displayName="Tabela467910" ref="B544:K551" totalsRowCount="1" headerRowDxfId="2110" dataDxfId="2108" totalsRowDxfId="2107" headerRowBorderDxfId="2109" dataCellStyle="Vírgula">
  <autoFilter ref="B544:K5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2106" totalsRowDxfId="2105"/>
    <tableColumn id="2" name="Descrição / Local" dataDxfId="2104" totalsRowDxfId="2103"/>
    <tableColumn id="3" name="Comp. (m)" dataDxfId="2102" totalsRowDxfId="2101" dataCellStyle="Vírgula"/>
    <tableColumn id="4" name="Larg. (m)" dataDxfId="2100" totalsRowDxfId="2099" dataCellStyle="Vírgula"/>
    <tableColumn id="5" name="Altura (m)" dataDxfId="2098" totalsRowDxfId="2097" dataCellStyle="Vírgula"/>
    <tableColumn id="6" name="D" dataDxfId="2096" totalsRowDxfId="2095" dataCellStyle="Vírgula"/>
    <tableColumn id="7" name="E" dataDxfId="2094" totalsRowDxfId="2093" dataCellStyle="Vírgula"/>
    <tableColumn id="8" name="F" dataDxfId="2092" totalsRowDxfId="2091" dataCellStyle="Vírgula"/>
    <tableColumn id="9" name="G" dataDxfId="2090" totalsRowDxfId="2089" dataCellStyle="Vírgula"/>
    <tableColumn id="10" name="Total" totalsRowFunction="sum" dataDxfId="2088" totalsRowDxfId="2087" dataCellStyle="Vírgula">
      <calculatedColumnFormula>D545*Tabela467910[[#This Row],[Larg. (m)]]*Tabela467910[[#This Row],[Altura (m)]]</calculatedColumnFormula>
    </tableColumn>
  </tableColumns>
  <tableStyleInfo name="TableStyleLight18" showFirstColumn="0" showLastColumn="0" showRowStripes="0" showColumnStripes="0"/>
</table>
</file>

<file path=xl/tables/table60.xml><?xml version="1.0" encoding="utf-8"?>
<table xmlns="http://schemas.openxmlformats.org/spreadsheetml/2006/main" id="53" name="Tabela467940411631242654" displayName="Tabela467940411631242654" ref="B141:K145" totalsRowCount="1" headerRowDxfId="810" dataDxfId="808" totalsRowDxfId="807" headerRowBorderDxfId="809" dataCellStyle="Vírgula">
  <autoFilter ref="B141:K144"/>
  <tableColumns count="10">
    <tableColumn id="1" name="Item" totalsRowLabel="Total" dataDxfId="806" totalsRowDxfId="805"/>
    <tableColumn id="2" name="Descrição / Local" dataDxfId="804" totalsRowDxfId="803"/>
    <tableColumn id="3" name="Quant." dataDxfId="802" totalsRowDxfId="801" dataCellStyle="Vírgula"/>
    <tableColumn id="4" name="B" dataDxfId="800" totalsRowDxfId="799" dataCellStyle="Vírgula"/>
    <tableColumn id="5" name="C" dataDxfId="798" totalsRowDxfId="797" dataCellStyle="Vírgula"/>
    <tableColumn id="6" name="D" dataDxfId="796" totalsRowDxfId="795" dataCellStyle="Vírgula"/>
    <tableColumn id="7" name="E" dataDxfId="794" totalsRowDxfId="793" dataCellStyle="Vírgula"/>
    <tableColumn id="8" name="F" dataDxfId="792" totalsRowDxfId="791" dataCellStyle="Vírgula"/>
    <tableColumn id="9" name="G" dataDxfId="790" totalsRowDxfId="789" dataCellStyle="Vírgula"/>
    <tableColumn id="10" name="Total" totalsRowFunction="sum" dataDxfId="788" totalsRowDxfId="787" dataCellStyle="Vírgula">
      <calculatedColumnFormula>D142</calculatedColumnFormula>
    </tableColumn>
  </tableColumns>
  <tableStyleInfo name="TableStyleLight18" showFirstColumn="0" showLastColumn="0" showRowStripes="0" showColumnStripes="0"/>
</table>
</file>

<file path=xl/tables/table61.xml><?xml version="1.0" encoding="utf-8"?>
<table xmlns="http://schemas.openxmlformats.org/spreadsheetml/2006/main" id="54" name="Tabela467940411631242655" displayName="Tabela467940411631242655" ref="B129:K131" totalsRowCount="1" headerRowDxfId="786" dataDxfId="784" totalsRowDxfId="783" headerRowBorderDxfId="785" dataCellStyle="Vírgula">
  <autoFilter ref="B129:K130"/>
  <tableColumns count="10">
    <tableColumn id="1" name="Item" totalsRowLabel="Total" dataDxfId="782" totalsRowDxfId="781"/>
    <tableColumn id="2" name="Descrição / Local" dataDxfId="780" totalsRowDxfId="779"/>
    <tableColumn id="3" name="Quant." dataDxfId="778" totalsRowDxfId="777" dataCellStyle="Vírgula"/>
    <tableColumn id="4" name="B" dataDxfId="776" totalsRowDxfId="775" dataCellStyle="Vírgula"/>
    <tableColumn id="5" name="C" dataDxfId="774" totalsRowDxfId="773" dataCellStyle="Vírgula"/>
    <tableColumn id="6" name="D" dataDxfId="772" totalsRowDxfId="771" dataCellStyle="Vírgula"/>
    <tableColumn id="7" name="E" dataDxfId="770" totalsRowDxfId="769" dataCellStyle="Vírgula"/>
    <tableColumn id="8" name="F" dataDxfId="768" totalsRowDxfId="767" dataCellStyle="Vírgula"/>
    <tableColumn id="9" name="G" dataDxfId="766" totalsRowDxfId="765" dataCellStyle="Vírgula"/>
    <tableColumn id="10" name="Total" totalsRowFunction="sum" dataDxfId="764" totalsRowDxfId="763" dataCellStyle="Vírgula">
      <calculatedColumnFormula>D130</calculatedColumnFormula>
    </tableColumn>
  </tableColumns>
  <tableStyleInfo name="TableStyleLight18" showFirstColumn="0" showLastColumn="0" showRowStripes="0" showColumnStripes="0"/>
</table>
</file>

<file path=xl/tables/table62.xml><?xml version="1.0" encoding="utf-8"?>
<table xmlns="http://schemas.openxmlformats.org/spreadsheetml/2006/main" id="55" name="Tabela46798856" displayName="Tabela46798856" ref="B405:K407" totalsRowCount="1" headerRowDxfId="762" dataDxfId="760" totalsRowDxfId="759" headerRowBorderDxfId="761" dataCellStyle="Vírgula">
  <autoFilter ref="B405:K406"/>
  <tableColumns count="10">
    <tableColumn id="1" name="Item" totalsRowLabel="Total" dataDxfId="758" totalsRowDxfId="757" dataCellStyle="Normal 3"/>
    <tableColumn id="2" name="Descrição / Local" dataDxfId="756" totalsRowDxfId="755" dataCellStyle="Normal 3"/>
    <tableColumn id="3" name="Quant." dataDxfId="754" totalsRowDxfId="753" dataCellStyle="Normal 3"/>
    <tableColumn id="4" name="B" dataDxfId="752" totalsRowDxfId="751" dataCellStyle="Normal 3"/>
    <tableColumn id="5" name="C" dataDxfId="750" totalsRowDxfId="749" dataCellStyle="Normal 3"/>
    <tableColumn id="6" name="D" dataDxfId="748" totalsRowDxfId="747" dataCellStyle="Normal 3"/>
    <tableColumn id="7" name="E" dataDxfId="746" totalsRowDxfId="745" dataCellStyle="Normal 3"/>
    <tableColumn id="8" name="F" dataDxfId="744" totalsRowDxfId="743" dataCellStyle="Normal 3"/>
    <tableColumn id="9" name="G" dataDxfId="742" totalsRowDxfId="741" dataCellStyle="Normal 3"/>
    <tableColumn id="10" name="Total" totalsRowFunction="sum" dataDxfId="740" totalsRowDxfId="739" dataCellStyle="Normal 3">
      <calculatedColumnFormula>D406</calculatedColumnFormula>
    </tableColumn>
  </tableColumns>
  <tableStyleInfo name="TableStyleLight18" showFirstColumn="0" showLastColumn="0" showRowStripes="0" showColumnStripes="0"/>
</table>
</file>

<file path=xl/tables/table63.xml><?xml version="1.0" encoding="utf-8"?>
<table xmlns="http://schemas.openxmlformats.org/spreadsheetml/2006/main" id="13" name="Tabela46714" displayName="Tabela46714" ref="B20:K22" totalsRowCount="1" headerRowDxfId="738" dataDxfId="736" totalsRowDxfId="735" headerRowBorderDxfId="737" dataCellStyle="Vírgula">
  <autoFilter ref="B20:K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734" totalsRowDxfId="733" dataCellStyle="Normal 3"/>
    <tableColumn id="2" name="Descrição / Local" dataDxfId="732" totalsRowDxfId="731" dataCellStyle="Normal 3"/>
    <tableColumn id="3" name="horas/dia" dataDxfId="730" totalsRowDxfId="729" dataCellStyle="Normal 3"/>
    <tableColumn id="4" name="dias/mês" dataDxfId="728" totalsRowDxfId="727" dataCellStyle="Normal 3"/>
    <tableColumn id="5" name="meses" dataDxfId="726" totalsRowDxfId="725" dataCellStyle="Normal 3"/>
    <tableColumn id="6" name="D" dataDxfId="724" totalsRowDxfId="723" dataCellStyle="Normal 3"/>
    <tableColumn id="7" name="E" dataDxfId="722" totalsRowDxfId="721" dataCellStyle="Normal 3"/>
    <tableColumn id="8" name="F" dataDxfId="720" totalsRowDxfId="719" dataCellStyle="Normal 3"/>
    <tableColumn id="9" name="G" dataDxfId="718" totalsRowDxfId="717" dataCellStyle="Normal 3"/>
    <tableColumn id="10" name="Total" totalsRowFunction="sum" dataDxfId="716" totalsRowDxfId="715" dataCellStyle="Normal 3">
      <calculatedColumnFormula>Tabela46714[[#This Row],[horas/dia]]*Tabela46714[[#This Row],[dias/mês]]*Tabela46714[[#This Row],[meses]]</calculatedColumnFormula>
    </tableColumn>
  </tableColumns>
  <tableStyleInfo name="TableStyleLight18" showFirstColumn="0" showLastColumn="0" showRowStripes="0" showColumnStripes="0"/>
</table>
</file>

<file path=xl/tables/table64.xml><?xml version="1.0" encoding="utf-8"?>
<table xmlns="http://schemas.openxmlformats.org/spreadsheetml/2006/main" id="14" name="Tabela467815" displayName="Tabela467815" ref="B14:K16" totalsRowCount="1" headerRowDxfId="714" dataDxfId="712" totalsRowDxfId="711" headerRowBorderDxfId="713" dataCellStyle="Vírgula">
  <autoFilter ref="B14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710" totalsRowDxfId="709" dataCellStyle="Normal 3"/>
    <tableColumn id="2" name="Descrição / Local" dataDxfId="708" totalsRowDxfId="707" dataCellStyle="Normal 3"/>
    <tableColumn id="3" name="horas/dia" dataDxfId="706" totalsRowDxfId="705" dataCellStyle="Normal 3"/>
    <tableColumn id="4" name="dias/mês" dataDxfId="704" totalsRowDxfId="703" dataCellStyle="Normal 3"/>
    <tableColumn id="5" name="meses" dataDxfId="702" totalsRowDxfId="701" dataCellStyle="Normal 3"/>
    <tableColumn id="6" name="D" dataDxfId="700" totalsRowDxfId="699" dataCellStyle="Normal 3"/>
    <tableColumn id="7" name="E" dataDxfId="698" totalsRowDxfId="697" dataCellStyle="Normal 3"/>
    <tableColumn id="8" name="F" dataDxfId="696" totalsRowDxfId="695" dataCellStyle="Normal 3"/>
    <tableColumn id="9" name="G" dataDxfId="694" totalsRowDxfId="693" dataCellStyle="Normal 3"/>
    <tableColumn id="10" name="Total" totalsRowFunction="sum" dataDxfId="692" totalsRowDxfId="691" dataCellStyle="Normal 3">
      <calculatedColumnFormula>D15*Tabela467815[[#This Row],[dias/mês]]*Tabela467815[[#This Row],[meses]]</calculatedColumnFormula>
    </tableColumn>
  </tableColumns>
  <tableStyleInfo name="TableStyleLight18" showFirstColumn="0" showLastColumn="0" showRowStripes="0" showColumnStripes="0"/>
</table>
</file>

<file path=xl/tables/table65.xml><?xml version="1.0" encoding="utf-8"?>
<table xmlns="http://schemas.openxmlformats.org/spreadsheetml/2006/main" id="26" name="Tabela467927" displayName="Tabela467927" ref="B5:K7" totalsRowCount="1" headerRowDxfId="690" dataDxfId="688" headerRowBorderDxfId="689" dataCellStyle="Vírgula">
  <autoFilter ref="B5:K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687" totalsRowDxfId="686"/>
    <tableColumn id="2" name="Descrição / Local" dataDxfId="685" totalsRowDxfId="684"/>
    <tableColumn id="3" name="A" dataDxfId="683" totalsRowDxfId="682" dataCellStyle="Vírgula"/>
    <tableColumn id="4" name="B" dataDxfId="681" totalsRowDxfId="680" dataCellStyle="Vírgula"/>
    <tableColumn id="5" name="C" dataDxfId="679" totalsRowDxfId="678" dataCellStyle="Vírgula"/>
    <tableColumn id="6" name="D" dataDxfId="677" totalsRowDxfId="676" dataCellStyle="Vírgula"/>
    <tableColumn id="7" name="E" dataDxfId="675" totalsRowDxfId="674" dataCellStyle="Vírgula"/>
    <tableColumn id="8" name="F" dataDxfId="673" totalsRowDxfId="672" dataCellStyle="Vírgula"/>
    <tableColumn id="9" name="G" dataDxfId="671" totalsRowDxfId="670" dataCellStyle="Vírgula"/>
    <tableColumn id="10" name="Total" totalsRowFunction="sum" dataDxfId="669" totalsRowDxfId="668" dataCellStyle="Vírgula">
      <calculatedColumnFormula>D6</calculatedColumnFormula>
    </tableColumn>
  </tableColumns>
  <tableStyleInfo name="TableStyleLight18" showFirstColumn="0" showLastColumn="0" showRowStripes="0" showColumnStripes="0"/>
</table>
</file>

<file path=xl/tables/table66.xml><?xml version="1.0" encoding="utf-8"?>
<table xmlns="http://schemas.openxmlformats.org/spreadsheetml/2006/main" id="157" name="Tabela467927158" displayName="Tabela467927158" ref="B41:K47" totalsRowCount="1" headerRowDxfId="667" dataDxfId="665" headerRowBorderDxfId="666" dataCellStyle="Vírgula">
  <tableColumns count="10">
    <tableColumn id="1" name="Item" totalsRowLabel="Total" dataDxfId="664" totalsRowDxfId="663"/>
    <tableColumn id="2" name="Descrição / Local" dataDxfId="662" totalsRowDxfId="661"/>
    <tableColumn id="3" name="Quant." dataDxfId="660" totalsRowDxfId="659" dataCellStyle="Vírgula"/>
    <tableColumn id="4" name="Larg. (m)" dataDxfId="658" totalsRowDxfId="657" dataCellStyle="Vírgula"/>
    <tableColumn id="5" name="Altura (m)" dataDxfId="656" totalsRowDxfId="655" dataCellStyle="Vírgula"/>
    <tableColumn id="6" name="Coef." dataDxfId="654" totalsRowDxfId="653" dataCellStyle="Vírgula"/>
    <tableColumn id="7" name="E" dataDxfId="652" totalsRowDxfId="651" dataCellStyle="Vírgula"/>
    <tableColumn id="8" name="F" dataDxfId="650" totalsRowDxfId="649" dataCellStyle="Vírgula"/>
    <tableColumn id="9" name="G" dataDxfId="648" totalsRowDxfId="647" dataCellStyle="Vírgula"/>
    <tableColumn id="10" name="Total" totalsRowFunction="sum" dataDxfId="646" totalsRowDxfId="645" dataCellStyle="Vírgula">
      <calculatedColumnFormula>Tabela467927158[[#This Row],[Quant.]]*Tabela467927158[[#This Row],[Larg. (m)]]*Tabela467927158[[#This Row],[Altura (m)]]*Tabela467927158[[#This Row],[Coef.]]</calculatedColumnFormula>
    </tableColumn>
  </tableColumns>
  <tableStyleInfo name="TableStyleLight18" showFirstColumn="0" showLastColumn="0" showRowStripes="0" showColumnStripes="0"/>
</table>
</file>

<file path=xl/tables/table67.xml><?xml version="1.0" encoding="utf-8"?>
<table xmlns="http://schemas.openxmlformats.org/spreadsheetml/2006/main" id="158" name="Tabela467927159" displayName="Tabela467927159" ref="B51:K57" totalsRowCount="1" headerRowDxfId="644" dataDxfId="642" headerRowBorderDxfId="643" dataCellStyle="Vírgula">
  <tableColumns count="10">
    <tableColumn id="1" name="Item" totalsRowLabel="Total" dataDxfId="641" totalsRowDxfId="640"/>
    <tableColumn id="2" name="Descrição / Local" dataDxfId="639" totalsRowDxfId="638"/>
    <tableColumn id="3" name="Quant." dataDxfId="637" totalsRowDxfId="636" dataCellStyle="Vírgula"/>
    <tableColumn id="4" name="Larg. (m)" dataDxfId="635" totalsRowDxfId="634" dataCellStyle="Vírgula"/>
    <tableColumn id="5" name="Altura (m)" dataDxfId="633" totalsRowDxfId="632" dataCellStyle="Vírgula"/>
    <tableColumn id="6" name="D" dataDxfId="631" totalsRowDxfId="630" dataCellStyle="Vírgula"/>
    <tableColumn id="7" name="E" dataDxfId="629" totalsRowDxfId="628" dataCellStyle="Vírgula"/>
    <tableColumn id="8" name="F" dataDxfId="627" totalsRowDxfId="626" dataCellStyle="Vírgula"/>
    <tableColumn id="9" name="G" dataDxfId="625" totalsRowDxfId="624" dataCellStyle="Vírgula"/>
    <tableColumn id="10" name="Total" totalsRowFunction="sum" dataDxfId="623" totalsRowDxfId="622" dataCellStyle="Vírgula">
      <calculatedColumnFormula>Tabela467927159[[#This Row],[Quant.]]*Tabela467927159[[#This Row],[Larg. (m)]]*Tabela467927159[[#This Row],[Altura (m)]]</calculatedColumnFormula>
    </tableColumn>
  </tableColumns>
  <tableStyleInfo name="TableStyleLight18" showFirstColumn="0" showLastColumn="0" showRowStripes="0" showColumnStripes="0"/>
</table>
</file>

<file path=xl/tables/table68.xml><?xml version="1.0" encoding="utf-8"?>
<table xmlns="http://schemas.openxmlformats.org/spreadsheetml/2006/main" id="159" name="Tabela467927160" displayName="Tabela467927160" ref="B78:K85" totalsRowCount="1" headerRowDxfId="621" dataDxfId="619" headerRowBorderDxfId="620" dataCellStyle="Vírgula">
  <tableColumns count="10">
    <tableColumn id="1" name="Item" totalsRowLabel="Total" dataDxfId="618" totalsRowDxfId="617" dataCellStyle="Normal 3"/>
    <tableColumn id="2" name="Descrição / Local" dataDxfId="616" totalsRowDxfId="615" dataCellStyle="Normal 3"/>
    <tableColumn id="3" name="Quant." dataDxfId="614" totalsRowDxfId="613" dataCellStyle="Vírgula"/>
    <tableColumn id="4" name="Larg. (m)" dataDxfId="612" totalsRowDxfId="611" dataCellStyle="Vírgula"/>
    <tableColumn id="5" name="Altura (m)" dataDxfId="610" totalsRowDxfId="609" dataCellStyle="Vírgula"/>
    <tableColumn id="6" name="D" dataDxfId="608" totalsRowDxfId="607" dataCellStyle="Normal 3"/>
    <tableColumn id="7" name="E" dataDxfId="606" totalsRowDxfId="605" dataCellStyle="Normal 3"/>
    <tableColumn id="8" name="F" dataDxfId="604" totalsRowDxfId="603" dataCellStyle="Normal 3"/>
    <tableColumn id="9" name="G" dataDxfId="602" totalsRowDxfId="601" dataCellStyle="Normal 3"/>
    <tableColumn id="10" name="Total" totalsRowFunction="sum" dataDxfId="600" totalsRowDxfId="599" dataCellStyle="Vírgula">
      <calculatedColumnFormula>Tabela467927160[[#This Row],[Quant.]]*Tabela467927160[[#This Row],[Larg. (m)]]*Tabela467927160[[#This Row],[Altura (m)]]</calculatedColumnFormula>
    </tableColumn>
  </tableColumns>
  <tableStyleInfo name="TableStyleLight18" showFirstColumn="0" showLastColumn="0" showRowStripes="0" showColumnStripes="0"/>
</table>
</file>

<file path=xl/tables/table69.xml><?xml version="1.0" encoding="utf-8"?>
<table xmlns="http://schemas.openxmlformats.org/spreadsheetml/2006/main" id="160" name="Tabela467927161" displayName="Tabela467927161" ref="B61:K68" totalsRowCount="1" headerRowDxfId="598" dataDxfId="596" headerRowBorderDxfId="597" dataCellStyle="Vírgula">
  <tableColumns count="10">
    <tableColumn id="1" name="Item" totalsRowLabel="Total" dataDxfId="595" totalsRowDxfId="594"/>
    <tableColumn id="2" name="Descrição / Local" dataDxfId="593" totalsRowDxfId="592"/>
    <tableColumn id="3" name="Quant." dataDxfId="591" totalsRowDxfId="590" dataCellStyle="Vírgula"/>
    <tableColumn id="4" name="B" dataDxfId="589" totalsRowDxfId="588" dataCellStyle="Vírgula"/>
    <tableColumn id="5" name="C" dataDxfId="587" totalsRowDxfId="586" dataCellStyle="Vírgula"/>
    <tableColumn id="6" name="D" dataDxfId="585" totalsRowDxfId="584" dataCellStyle="Vírgula"/>
    <tableColumn id="7" name="E" dataDxfId="583" totalsRowDxfId="582" dataCellStyle="Vírgula"/>
    <tableColumn id="8" name="F" dataDxfId="581" totalsRowDxfId="580" dataCellStyle="Vírgula"/>
    <tableColumn id="9" name="G" dataDxfId="579" totalsRowDxfId="578" dataCellStyle="Vírgula"/>
    <tableColumn id="10" name="Total" totalsRowFunction="sum" dataDxfId="577" totalsRowDxfId="576" dataCellStyle="Vírgula">
      <calculatedColumnFormula>Tabela467927161[[#This Row],[Quant.]]</calculatedColumnFormula>
    </tableColumn>
  </tableColumns>
  <tableStyleInfo name="TableStyleLight18" showFirstColumn="0" showLastColumn="0" showRowStripes="0" showColumnStripes="0"/>
</table>
</file>

<file path=xl/tables/table7.xml><?xml version="1.0" encoding="utf-8"?>
<table xmlns="http://schemas.openxmlformats.org/spreadsheetml/2006/main" id="7" name="Tabela46791011" displayName="Tabela46791011" ref="B555:K557" totalsRowCount="1" headerRowDxfId="2086" dataDxfId="2084" totalsRowDxfId="2083" headerRowBorderDxfId="2085" dataCellStyle="Vírgula">
  <autoFilter ref="B555:K5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2082" totalsRowDxfId="2081" dataCellStyle="Normal 3"/>
    <tableColumn id="2" name="Descrição / Local" dataDxfId="2080" totalsRowDxfId="2079" dataCellStyle="Normal 3"/>
    <tableColumn id="3" name="Quant." dataDxfId="2078" totalsRowDxfId="2077" dataCellStyle="Normal 3"/>
    <tableColumn id="4" name="B" dataDxfId="2076" totalsRowDxfId="2075" dataCellStyle="Normal 3"/>
    <tableColumn id="5" name="C" dataDxfId="2074" totalsRowDxfId="2073" dataCellStyle="Normal 3"/>
    <tableColumn id="6" name="D" dataDxfId="2072" totalsRowDxfId="2071" dataCellStyle="Normal 3"/>
    <tableColumn id="7" name="E" dataDxfId="2070" totalsRowDxfId="2069" dataCellStyle="Normal 3"/>
    <tableColumn id="8" name="F" dataDxfId="2068" totalsRowDxfId="2067" dataCellStyle="Normal 3"/>
    <tableColumn id="9" name="G" dataDxfId="2066" totalsRowDxfId="2065" dataCellStyle="Normal 3"/>
    <tableColumn id="10" name="Total" totalsRowFunction="sum" dataDxfId="2064" totalsRowDxfId="2063" dataCellStyle="Normal 3">
      <calculatedColumnFormula>Tabela46791011[[#This Row],[Quant.]]</calculatedColumnFormula>
    </tableColumn>
  </tableColumns>
  <tableStyleInfo name="TableStyleLight18" showFirstColumn="0" showLastColumn="0" showRowStripes="0" showColumnStripes="0"/>
</table>
</file>

<file path=xl/tables/table70.xml><?xml version="1.0" encoding="utf-8"?>
<table xmlns="http://schemas.openxmlformats.org/spreadsheetml/2006/main" id="161" name="Tabela467927162" displayName="Tabela467927162" ref="B72:K74" totalsRowCount="1" headerRowDxfId="575" dataDxfId="573" totalsRowDxfId="572" headerRowBorderDxfId="574" dataCellStyle="Vírgula">
  <tableColumns count="10">
    <tableColumn id="1" name="Item" totalsRowLabel="Total" dataDxfId="571" totalsRowDxfId="570"/>
    <tableColumn id="2" name="Descrição / Local" dataDxfId="569" totalsRowDxfId="568"/>
    <tableColumn id="3" name="Quant." dataDxfId="567" totalsRowDxfId="566" dataCellStyle="Vírgula"/>
    <tableColumn id="4" name="Larg. (m)" dataDxfId="565" totalsRowDxfId="564" dataCellStyle="Vírgula"/>
    <tableColumn id="5" name="Altura (m)" dataDxfId="563" totalsRowDxfId="562" dataCellStyle="Vírgula"/>
    <tableColumn id="6" name="COEF" dataDxfId="561" totalsRowDxfId="560" dataCellStyle="Vírgula"/>
    <tableColumn id="7" name="E" dataDxfId="559" totalsRowDxfId="558" dataCellStyle="Vírgula"/>
    <tableColumn id="8" name="F" dataDxfId="557" totalsRowDxfId="556" dataCellStyle="Vírgula"/>
    <tableColumn id="9" name="G" dataDxfId="555" totalsRowDxfId="554" dataCellStyle="Vírgula"/>
    <tableColumn id="10" name="Total" totalsRowFunction="sum" dataDxfId="553" totalsRowDxfId="552" dataCellStyle="Vírgula">
      <calculatedColumnFormula>Tabela467927162[[#This Row],[Quant.]]*Tabela467927162[[#This Row],[Larg. (m)]]*Tabela467927162[[#This Row],[Altura (m)]]*Tabela467927162[[#This Row],[COEF]]</calculatedColumnFormula>
    </tableColumn>
  </tableColumns>
  <tableStyleInfo name="TableStyleLight18" showFirstColumn="0" showLastColumn="0" showRowStripes="0" showColumnStripes="0"/>
</table>
</file>

<file path=xl/tables/table71.xml><?xml version="1.0" encoding="utf-8"?>
<table xmlns="http://schemas.openxmlformats.org/spreadsheetml/2006/main" id="162" name="Tabela467927163" displayName="Tabela467927163" ref="B101:K103" totalsRowCount="1" headerRowDxfId="551" dataDxfId="549" headerRowBorderDxfId="550" dataCellStyle="Vírgula">
  <tableColumns count="10">
    <tableColumn id="1" name="Item" totalsRowLabel="Total" dataDxfId="548" totalsRowDxfId="547" dataCellStyle="Normal 3"/>
    <tableColumn id="2" name="Descrição / Local" dataDxfId="546" totalsRowDxfId="545" dataCellStyle="Normal 3"/>
    <tableColumn id="3" name="Área (m²)" dataDxfId="544" totalsRowDxfId="543" dataCellStyle="Normal 3"/>
    <tableColumn id="4" name="B" dataDxfId="542" totalsRowDxfId="541" dataCellStyle="Normal 3"/>
    <tableColumn id="5" name="C" dataDxfId="540" totalsRowDxfId="539" dataCellStyle="Normal 3"/>
    <tableColumn id="6" name="D" dataDxfId="538" totalsRowDxfId="537" dataCellStyle="Normal 3"/>
    <tableColumn id="7" name="E" dataDxfId="536" totalsRowDxfId="535" dataCellStyle="Normal 3"/>
    <tableColumn id="8" name="F" dataDxfId="534" totalsRowDxfId="533" dataCellStyle="Normal 3"/>
    <tableColumn id="9" name="G" dataDxfId="532" totalsRowDxfId="531" dataCellStyle="Normal 3"/>
    <tableColumn id="10" name="Total" totalsRowFunction="sum" dataDxfId="530" totalsRowDxfId="529" dataCellStyle="Normal 3">
      <calculatedColumnFormula>Tabela467927163[[#This Row],[Área (m²)]]</calculatedColumnFormula>
    </tableColumn>
  </tableColumns>
  <tableStyleInfo name="TableStyleLight18" showFirstColumn="0" showLastColumn="0" showRowStripes="0" showColumnStripes="0"/>
</table>
</file>

<file path=xl/tables/table72.xml><?xml version="1.0" encoding="utf-8"?>
<table xmlns="http://schemas.openxmlformats.org/spreadsheetml/2006/main" id="170" name="Tabela467927171" displayName="Tabela467927171" ref="B110:K119" totalsRowCount="1" headerRowDxfId="528" dataDxfId="526" headerRowBorderDxfId="527" dataCellStyle="Vírgula">
  <tableColumns count="10">
    <tableColumn id="1" name="Item" totalsRowLabel="Total" dataDxfId="525" totalsRowDxfId="524"/>
    <tableColumn id="2" name="Descrição / Local" dataDxfId="523" totalsRowDxfId="522"/>
    <tableColumn id="3" name="Estações" dataDxfId="521" totalsRowDxfId="520" dataCellStyle="Vírgula"/>
    <tableColumn id="4" name="m/ponto" dataDxfId="519" totalsRowDxfId="518" dataCellStyle="Vírgula"/>
    <tableColumn id="5" name="COEF" dataDxfId="517" totalsRowDxfId="516" dataCellStyle="Vírgula"/>
    <tableColumn id="6" name="D" dataDxfId="515" totalsRowDxfId="514" dataCellStyle="Vírgula"/>
    <tableColumn id="7" name="E" dataDxfId="513" totalsRowDxfId="512" dataCellStyle="Vírgula"/>
    <tableColumn id="8" name="F" dataDxfId="511" totalsRowDxfId="510" dataCellStyle="Vírgula"/>
    <tableColumn id="9" name="G" dataDxfId="509" totalsRowDxfId="508" dataCellStyle="Vírgula"/>
    <tableColumn id="10" name="Total" totalsRowFunction="sum" dataDxfId="507" totalsRowDxfId="506" dataCellStyle="Vírgula">
      <calculatedColumnFormula>Tabela467927171[[#This Row],[Estações]]*Tabela467927171[[#This Row],[m/ponto]]*Tabela467927171[[#This Row],[COEF]]</calculatedColumnFormula>
    </tableColumn>
  </tableColumns>
  <tableStyleInfo name="TableStyleLight18" showFirstColumn="0" showLastColumn="0" showRowStripes="0" showColumnStripes="0"/>
</table>
</file>

<file path=xl/tables/table73.xml><?xml version="1.0" encoding="utf-8"?>
<table xmlns="http://schemas.openxmlformats.org/spreadsheetml/2006/main" id="171" name="Tabela467927172" displayName="Tabela467927172" ref="B123:K125" totalsRowCount="1" headerRowDxfId="505" dataDxfId="503" headerRowBorderDxfId="504" dataCellStyle="Vírgula">
  <tableColumns count="10">
    <tableColumn id="1" name="Item" totalsRowLabel="Total" dataDxfId="502" totalsRowDxfId="501"/>
    <tableColumn id="2" name="Descrição / Local" dataDxfId="500" totalsRowDxfId="499"/>
    <tableColumn id="3" name="Pontos" dataDxfId="498" totalsRowDxfId="497" dataCellStyle="Vírgula"/>
    <tableColumn id="4" name="m/ponto" dataDxfId="496" totalsRowDxfId="495" dataCellStyle="Vírgula"/>
    <tableColumn id="5" name="C" dataDxfId="494" totalsRowDxfId="493" dataCellStyle="Vírgula"/>
    <tableColumn id="6" name="D" dataDxfId="492" totalsRowDxfId="491" dataCellStyle="Vírgula"/>
    <tableColumn id="7" name="E" dataDxfId="490" totalsRowDxfId="489" dataCellStyle="Vírgula"/>
    <tableColumn id="8" name="F" dataDxfId="488" totalsRowDxfId="487" dataCellStyle="Vírgula"/>
    <tableColumn id="9" name="G" dataDxfId="486" totalsRowDxfId="485" dataCellStyle="Vírgula"/>
    <tableColumn id="10" name="Total" totalsRowFunction="sum" dataDxfId="484" totalsRowDxfId="483" dataCellStyle="Vírgula">
      <calculatedColumnFormula>Tabela467927172[[#This Row],[Pontos]]*Tabela467927172[[#This Row],[m/ponto]]</calculatedColumnFormula>
    </tableColumn>
  </tableColumns>
  <tableStyleInfo name="TableStyleLight18" showFirstColumn="0" showLastColumn="0" showRowStripes="0" showColumnStripes="0"/>
</table>
</file>

<file path=xl/tables/table74.xml><?xml version="1.0" encoding="utf-8"?>
<table xmlns="http://schemas.openxmlformats.org/spreadsheetml/2006/main" id="174" name="Tabela467927175" displayName="Tabela467927175" ref="B142:K150" totalsRowCount="1" headerRowDxfId="482" dataDxfId="480" headerRowBorderDxfId="481" dataCellStyle="Vírgula">
  <tableColumns count="10">
    <tableColumn id="1" name="Item" totalsRowLabel="Total" dataDxfId="479" totalsRowDxfId="478" dataCellStyle="Normal 3"/>
    <tableColumn id="2" name="Descrição / Local" dataDxfId="477" totalsRowDxfId="476" dataCellStyle="Normal 3"/>
    <tableColumn id="3" name="Estações" dataDxfId="475" totalsRowDxfId="474" dataCellStyle="Normal 3"/>
    <tableColumn id="4" name="Pontos/Estação" dataDxfId="473" totalsRowDxfId="472" dataCellStyle="Normal 3"/>
    <tableColumn id="5" name="C" dataDxfId="471" totalsRowDxfId="470" dataCellStyle="Normal 3"/>
    <tableColumn id="6" name="D" dataDxfId="469" totalsRowDxfId="468" dataCellStyle="Normal 3"/>
    <tableColumn id="7" name="E" dataDxfId="467" totalsRowDxfId="466" dataCellStyle="Normal 3"/>
    <tableColumn id="8" name="F" dataDxfId="465" totalsRowDxfId="464" dataCellStyle="Normal 3"/>
    <tableColumn id="9" name="G" dataDxfId="463" totalsRowDxfId="462" dataCellStyle="Normal 3"/>
    <tableColumn id="10" name="Total" totalsRowFunction="sum" dataDxfId="461" totalsRowDxfId="460" dataCellStyle="Normal 3">
      <calculatedColumnFormula>Tabela467927175[[#This Row],[Estações]]*Tabela467927175[[#This Row],[Pontos/Estação]]</calculatedColumnFormula>
    </tableColumn>
  </tableColumns>
  <tableStyleInfo name="TableStyleLight18" showFirstColumn="0" showLastColumn="0" showRowStripes="0" showColumnStripes="0"/>
</table>
</file>

<file path=xl/tables/table75.xml><?xml version="1.0" encoding="utf-8"?>
<table xmlns="http://schemas.openxmlformats.org/spreadsheetml/2006/main" id="175" name="Tabela467927176" displayName="Tabela467927176" ref="B154:K156" totalsRowCount="1" headerRowDxfId="459" dataDxfId="457" headerRowBorderDxfId="458" dataCellStyle="Vírgula">
  <tableColumns count="10">
    <tableColumn id="1" name="Item" totalsRowLabel="Total" dataDxfId="456" totalsRowDxfId="455"/>
    <tableColumn id="2" name="Descrição / Local" dataDxfId="454" totalsRowDxfId="453"/>
    <tableColumn id="3" name="Pontos" dataDxfId="452" totalsRowDxfId="451" dataCellStyle="Vírgula"/>
    <tableColumn id="4" name="B" dataDxfId="450" totalsRowDxfId="449" dataCellStyle="Vírgula"/>
    <tableColumn id="5" name="C" dataDxfId="448" totalsRowDxfId="447" dataCellStyle="Vírgula"/>
    <tableColumn id="6" name="D" dataDxfId="446" totalsRowDxfId="445" dataCellStyle="Vírgula"/>
    <tableColumn id="7" name="E" dataDxfId="444" totalsRowDxfId="443" dataCellStyle="Vírgula"/>
    <tableColumn id="8" name="F" dataDxfId="442" totalsRowDxfId="441" dataCellStyle="Vírgula"/>
    <tableColumn id="9" name="G" dataDxfId="440" totalsRowDxfId="439" dataCellStyle="Vírgula"/>
    <tableColumn id="10" name="Total" totalsRowFunction="sum" dataDxfId="438" totalsRowDxfId="437" dataCellStyle="Vírgula">
      <calculatedColumnFormula>D155</calculatedColumnFormula>
    </tableColumn>
  </tableColumns>
  <tableStyleInfo name="TableStyleLight18" showFirstColumn="0" showLastColumn="0" showRowStripes="0" showColumnStripes="0"/>
</table>
</file>

<file path=xl/tables/table76.xml><?xml version="1.0" encoding="utf-8"?>
<table xmlns="http://schemas.openxmlformats.org/spreadsheetml/2006/main" id="176" name="Tabela467927177" displayName="Tabela467927177" ref="B160:K163" totalsRowCount="1" headerRowDxfId="436" dataDxfId="434" headerRowBorderDxfId="435" dataCellStyle="Vírgula">
  <tableColumns count="10">
    <tableColumn id="1" name="Item" totalsRowLabel="Total" dataDxfId="433" totalsRowDxfId="432" dataCellStyle="Normal 3"/>
    <tableColumn id="2" name="Descrição / Local" dataDxfId="431" totalsRowDxfId="430" dataCellStyle="Normal 3"/>
    <tableColumn id="3" name="Unidades" dataDxfId="429" totalsRowDxfId="428" dataCellStyle="Vírgula"/>
    <tableColumn id="4" name="B" dataDxfId="427" totalsRowDxfId="426" dataCellStyle="Vírgula"/>
    <tableColumn id="5" name="C" dataDxfId="425" totalsRowDxfId="424" dataCellStyle="Vírgula"/>
    <tableColumn id="6" name="D" dataDxfId="423" totalsRowDxfId="422" dataCellStyle="Vírgula"/>
    <tableColumn id="7" name="E" dataDxfId="421" totalsRowDxfId="420" dataCellStyle="Vírgula"/>
    <tableColumn id="8" name="F" dataDxfId="419" totalsRowDxfId="418" dataCellStyle="Vírgula"/>
    <tableColumn id="9" name="G" dataDxfId="417" totalsRowDxfId="416" dataCellStyle="Vírgula"/>
    <tableColumn id="10" name="Total" totalsRowFunction="sum" dataDxfId="415" totalsRowDxfId="414" dataCellStyle="Vírgula">
      <calculatedColumnFormula>D161</calculatedColumnFormula>
    </tableColumn>
  </tableColumns>
  <tableStyleInfo name="TableStyleLight18" showFirstColumn="0" showLastColumn="0" showRowStripes="0" showColumnStripes="0"/>
</table>
</file>

<file path=xl/tables/table77.xml><?xml version="1.0" encoding="utf-8"?>
<table xmlns="http://schemas.openxmlformats.org/spreadsheetml/2006/main" id="183" name="Tabela467927173180184" displayName="Tabela467927173180184" ref="B243:K245" totalsRowCount="1" headerRowDxfId="413" dataDxfId="411" headerRowBorderDxfId="412" dataCellStyle="Vírgula">
  <tableColumns count="10">
    <tableColumn id="1" name="Item" totalsRowLabel="Total" dataDxfId="410" totalsRowDxfId="409" dataCellStyle="Normal 3"/>
    <tableColumn id="2" name="Descrição / Local" dataDxfId="408" totalsRowDxfId="407" dataCellStyle="Normal 3"/>
    <tableColumn id="3" name="Comp. (m)" dataDxfId="406" totalsRowDxfId="405" dataCellStyle="Vírgula 3"/>
    <tableColumn id="4" name="Larg. (m)" dataDxfId="404" totalsRowDxfId="403" dataCellStyle="Vírgula 3"/>
    <tableColumn id="5" name="C" dataDxfId="402" totalsRowDxfId="401" dataCellStyle="Normal 3"/>
    <tableColumn id="6" name="D" dataDxfId="400" totalsRowDxfId="399" dataCellStyle="Normal 3"/>
    <tableColumn id="7" name="E" dataDxfId="398" totalsRowDxfId="397" dataCellStyle="Normal 3"/>
    <tableColumn id="8" name="F" dataDxfId="396" totalsRowDxfId="395" dataCellStyle="Normal 3"/>
    <tableColumn id="9" name="G" dataDxfId="394" totalsRowDxfId="393" dataCellStyle="Normal 3"/>
    <tableColumn id="10" name="Total" totalsRowFunction="sum" dataDxfId="392" totalsRowDxfId="391" dataCellStyle="Normal 3">
      <calculatedColumnFormula>Tabela467927173180184[[#This Row],[Comp. (m)]]*Tabela467927173180184[[#This Row],[Larg. (m)]]</calculatedColumnFormula>
    </tableColumn>
  </tableColumns>
  <tableStyleInfo name="TableStyleLight18" showFirstColumn="0" showLastColumn="0" showRowStripes="0" showColumnStripes="0"/>
</table>
</file>

<file path=xl/tables/table78.xml><?xml version="1.0" encoding="utf-8"?>
<table xmlns="http://schemas.openxmlformats.org/spreadsheetml/2006/main" id="24" name="Tabela46792716025" displayName="Tabela46792716025" ref="B89:K94" totalsRowCount="1" headerRowDxfId="390" dataDxfId="388" headerRowBorderDxfId="389" dataCellStyle="Vírgula">
  <tableColumns count="10">
    <tableColumn id="1" name="Item" totalsRowLabel="Total" dataDxfId="387" totalsRowDxfId="386" dataCellStyle="Normal 3"/>
    <tableColumn id="2" name="Descrição / Local" dataDxfId="385" totalsRowDxfId="384" dataCellStyle="Normal 3"/>
    <tableColumn id="3" name="Quant." dataDxfId="383" totalsRowDxfId="382" dataCellStyle="Vírgula"/>
    <tableColumn id="4" name="Larg. (m)" dataDxfId="381" totalsRowDxfId="380" dataCellStyle="Vírgula"/>
    <tableColumn id="5" name="Altura (m)" dataDxfId="379" totalsRowDxfId="378" dataCellStyle="Vírgula"/>
    <tableColumn id="6" name="D" dataDxfId="377" totalsRowDxfId="376" dataCellStyle="Normal 3"/>
    <tableColumn id="7" name="E" dataDxfId="375" totalsRowDxfId="374" dataCellStyle="Normal 3"/>
    <tableColumn id="8" name="F" dataDxfId="373" totalsRowDxfId="372" dataCellStyle="Normal 3"/>
    <tableColumn id="9" name="G" dataDxfId="371" totalsRowDxfId="370" dataCellStyle="Normal 3"/>
    <tableColumn id="10" name="Total" totalsRowFunction="sum" dataDxfId="369" totalsRowDxfId="368" dataCellStyle="Vírgula">
      <calculatedColumnFormula>Tabela46792716025[[#This Row],[Quant.]]*Tabela46792716025[[#This Row],[Larg. (m)]]*Tabela46792716025[[#This Row],[Altura (m)]]</calculatedColumnFormula>
    </tableColumn>
  </tableColumns>
  <tableStyleInfo name="TableStyleLight18" showFirstColumn="0" showLastColumn="0" showRowStripes="0" showColumnStripes="0"/>
</table>
</file>

<file path=xl/tables/table79.xml><?xml version="1.0" encoding="utf-8"?>
<table xmlns="http://schemas.openxmlformats.org/spreadsheetml/2006/main" id="30" name="Tabela46792717731" displayName="Tabela46792717731" ref="B167:K174" totalsRowCount="1" headerRowDxfId="367" dataDxfId="365" headerRowBorderDxfId="366" dataCellStyle="Vírgula">
  <tableColumns count="10">
    <tableColumn id="1" name="Item" totalsRowLabel="Total" dataDxfId="364" totalsRowDxfId="363" dataCellStyle="Normal 3"/>
    <tableColumn id="2" name="Descrição / Local" dataDxfId="362" totalsRowDxfId="361" dataCellStyle="Normal 3"/>
    <tableColumn id="3" name="Unidades" dataDxfId="360" totalsRowDxfId="359" dataCellStyle="Vírgula"/>
    <tableColumn id="4" name="B" dataDxfId="358" totalsRowDxfId="357" dataCellStyle="Normal 3"/>
    <tableColumn id="5" name="C" dataDxfId="356" totalsRowDxfId="355" dataCellStyle="Normal 3"/>
    <tableColumn id="6" name="D" dataDxfId="354" totalsRowDxfId="353" dataCellStyle="Normal 3"/>
    <tableColumn id="7" name="E" dataDxfId="352" totalsRowDxfId="351" dataCellStyle="Normal 3"/>
    <tableColumn id="8" name="F" dataDxfId="350" totalsRowDxfId="349" dataCellStyle="Normal 3"/>
    <tableColumn id="9" name="G" dataDxfId="348" totalsRowDxfId="347" dataCellStyle="Normal 3"/>
    <tableColumn id="10" name="Total" totalsRowFunction="sum" dataDxfId="346" totalsRowDxfId="345" dataCellStyle="Normal 3">
      <calculatedColumnFormula>Tabela46792717731[[#This Row],[Unidades]]</calculatedColumnFormula>
    </tableColumn>
  </tableColumns>
  <tableStyleInfo name="TableStyleLight18" showFirstColumn="0" showLastColumn="0" showRowStripes="0" showColumnStripes="0"/>
</table>
</file>

<file path=xl/tables/table8.xml><?xml version="1.0" encoding="utf-8"?>
<table xmlns="http://schemas.openxmlformats.org/spreadsheetml/2006/main" id="8" name="Tabela4679101112" displayName="Tabela4679101112" ref="B561:K568" totalsRowCount="1" headerRowDxfId="2062" dataDxfId="2060" totalsRowDxfId="2059" headerRowBorderDxfId="2061" dataCellStyle="Vírgula">
  <autoFilter ref="B561:K5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2058" totalsRowDxfId="2057"/>
    <tableColumn id="2" name="Descrição / Local" dataDxfId="2056" totalsRowDxfId="2055"/>
    <tableColumn id="3" name="Comp. (m)" dataDxfId="2054" totalsRowDxfId="2053" dataCellStyle="Vírgula"/>
    <tableColumn id="4" name="Larg. (m)" dataDxfId="2052" totalsRowDxfId="2051" dataCellStyle="Vírgula"/>
    <tableColumn id="5" name="C" dataDxfId="2050" totalsRowDxfId="2049" dataCellStyle="Vírgula"/>
    <tableColumn id="6" name="D" dataDxfId="2048" totalsRowDxfId="2047" dataCellStyle="Vírgula"/>
    <tableColumn id="7" name="E" dataDxfId="2046" totalsRowDxfId="2045" dataCellStyle="Vírgula"/>
    <tableColumn id="8" name="F" dataDxfId="2044" totalsRowDxfId="2043" dataCellStyle="Vírgula"/>
    <tableColumn id="9" name="G" dataDxfId="2042" totalsRowDxfId="2041" dataCellStyle="Vírgula"/>
    <tableColumn id="10" name="Total" totalsRowFunction="sum" dataDxfId="2040" totalsRowDxfId="2039" dataCellStyle="Vírgula">
      <calculatedColumnFormula>Tabela4679101112[[#This Row],[Comp. (m)]]*Tabela4679101112[[#This Row],[Larg. (m)]]</calculatedColumnFormula>
    </tableColumn>
  </tableColumns>
  <tableStyleInfo name="TableStyleLight18" showFirstColumn="0" showLastColumn="0" showRowStripes="0" showColumnStripes="0"/>
</table>
</file>

<file path=xl/tables/table80.xml><?xml version="1.0" encoding="utf-8"?>
<table xmlns="http://schemas.openxmlformats.org/spreadsheetml/2006/main" id="37" name="Tabela4679271773138" displayName="Tabela4679271773138" ref="B191:K194" totalsRowCount="1" headerRowDxfId="344" dataDxfId="342" headerRowBorderDxfId="343" dataCellStyle="Vírgula">
  <tableColumns count="10">
    <tableColumn id="1" name="Item" totalsRowLabel="Total" dataDxfId="341" totalsRowDxfId="340" dataCellStyle="Normal 3"/>
    <tableColumn id="2" name="Descrição / Local" dataDxfId="339" totalsRowDxfId="338" dataCellStyle="Normal 3"/>
    <tableColumn id="3" name="Unidades" dataDxfId="337" totalsRowDxfId="336" dataCellStyle="Normal 3"/>
    <tableColumn id="4" name="B" dataDxfId="335" totalsRowDxfId="334" dataCellStyle="Normal 3"/>
    <tableColumn id="5" name="C" dataDxfId="333" totalsRowDxfId="332" dataCellStyle="Normal 3"/>
    <tableColumn id="6" name="D" dataDxfId="331" totalsRowDxfId="330" dataCellStyle="Normal 3"/>
    <tableColumn id="7" name="E" dataDxfId="329" totalsRowDxfId="328" dataCellStyle="Normal 3"/>
    <tableColumn id="8" name="F" dataDxfId="327" totalsRowDxfId="326" dataCellStyle="Normal 3"/>
    <tableColumn id="9" name="G" dataDxfId="325" totalsRowDxfId="324" dataCellStyle="Normal 3"/>
    <tableColumn id="10" name="Total" totalsRowFunction="sum" dataDxfId="323" totalsRowDxfId="322" dataCellStyle="Normal 3">
      <calculatedColumnFormula>D192</calculatedColumnFormula>
    </tableColumn>
  </tableColumns>
  <tableStyleInfo name="TableStyleLight18" showFirstColumn="0" showLastColumn="0" showRowStripes="0" showColumnStripes="0"/>
</table>
</file>

<file path=xl/tables/table81.xml><?xml version="1.0" encoding="utf-8"?>
<table xmlns="http://schemas.openxmlformats.org/spreadsheetml/2006/main" id="49" name="Tabela467927177313850" displayName="Tabela467927177313850" ref="B198:K204" totalsRowCount="1" headerRowDxfId="321" dataDxfId="319" headerRowBorderDxfId="320" dataCellStyle="Vírgula">
  <tableColumns count="10">
    <tableColumn id="1" name="Item" totalsRowLabel="Total" dataDxfId="318" totalsRowDxfId="317" dataCellStyle="Normal 3"/>
    <tableColumn id="2" name="Descrição / Local" dataDxfId="316" totalsRowDxfId="315" dataCellStyle="Normal 3"/>
    <tableColumn id="3" name="Unidades" dataDxfId="314" totalsRowDxfId="313" dataCellStyle="Normal 3"/>
    <tableColumn id="4" name="B" dataDxfId="312" totalsRowDxfId="311" dataCellStyle="Normal 3"/>
    <tableColumn id="5" name="C" dataDxfId="310" totalsRowDxfId="309" dataCellStyle="Normal 3"/>
    <tableColumn id="6" name="D" dataDxfId="308" totalsRowDxfId="307" dataCellStyle="Normal 3"/>
    <tableColumn id="7" name="E" dataDxfId="306" totalsRowDxfId="305" dataCellStyle="Normal 3"/>
    <tableColumn id="8" name="F" dataDxfId="304" totalsRowDxfId="303" dataCellStyle="Normal 3"/>
    <tableColumn id="9" name="G" dataDxfId="302" totalsRowDxfId="301" dataCellStyle="Normal 3"/>
    <tableColumn id="10" name="Total" totalsRowFunction="sum" dataDxfId="300" totalsRowDxfId="299" dataCellStyle="Vírgula">
      <calculatedColumnFormula>D199</calculatedColumnFormula>
    </tableColumn>
  </tableColumns>
  <tableStyleInfo name="TableStyleLight18" showFirstColumn="0" showLastColumn="0" showRowStripes="0" showColumnStripes="0"/>
</table>
</file>

<file path=xl/tables/table82.xml><?xml version="1.0" encoding="utf-8"?>
<table xmlns="http://schemas.openxmlformats.org/spreadsheetml/2006/main" id="39" name="Tabela467927177313840" displayName="Tabela467927177313840" ref="B208:K210" totalsRowCount="1" headerRowDxfId="298" dataDxfId="296" headerRowBorderDxfId="297" dataCellStyle="Vírgula">
  <tableColumns count="10">
    <tableColumn id="1" name="Item" totalsRowLabel="Total" dataDxfId="295" totalsRowDxfId="294" dataCellStyle="Normal 3"/>
    <tableColumn id="2" name="Descrição / Local" dataDxfId="293" totalsRowDxfId="292" dataCellStyle="Normal 3"/>
    <tableColumn id="3" name="Unidades" dataDxfId="291" totalsRowDxfId="290" dataCellStyle="Normal 3"/>
    <tableColumn id="4" name="M/DESCIDA" dataDxfId="289" totalsRowDxfId="288" dataCellStyle="Normal 3"/>
    <tableColumn id="5" name="C" dataDxfId="287" totalsRowDxfId="286" dataCellStyle="Normal 3"/>
    <tableColumn id="6" name="D" dataDxfId="285" totalsRowDxfId="284" dataCellStyle="Normal 3"/>
    <tableColumn id="7" name="E" dataDxfId="283" totalsRowDxfId="282" dataCellStyle="Normal 3"/>
    <tableColumn id="8" name="F" dataDxfId="281" totalsRowDxfId="280" dataCellStyle="Normal 3"/>
    <tableColumn id="9" name="G" dataDxfId="279" totalsRowDxfId="278" dataCellStyle="Normal 3"/>
    <tableColumn id="10" name="Total" totalsRowFunction="sum" dataDxfId="277" totalsRowDxfId="276" dataCellStyle="Normal 3">
      <calculatedColumnFormula>Tabela467927177313840[[#This Row],[Unidades]]*Tabela467927177313840[[#This Row],[M/DESCIDA]]</calculatedColumnFormula>
    </tableColumn>
  </tableColumns>
  <tableStyleInfo name="TableStyleLight18" showFirstColumn="0" showLastColumn="0" showRowStripes="0" showColumnStripes="0"/>
</table>
</file>

<file path=xl/tables/table83.xml><?xml version="1.0" encoding="utf-8"?>
<table xmlns="http://schemas.openxmlformats.org/spreadsheetml/2006/main" id="41" name="Tabela46792717731385042" displayName="Tabela46792717731385042" ref="B214:K216" totalsRowCount="1" headerRowDxfId="275" dataDxfId="273" headerRowBorderDxfId="274" dataCellStyle="Vírgula">
  <tableColumns count="10">
    <tableColumn id="1" name="Item" totalsRowLabel="Total" dataDxfId="272" totalsRowDxfId="271" dataCellStyle="Normal 3"/>
    <tableColumn id="2" name="Descrição / Local" dataDxfId="270" totalsRowDxfId="269" dataCellStyle="Normal 3"/>
    <tableColumn id="3" name="Unidades" dataDxfId="268" totalsRowDxfId="267" dataCellStyle="Vírgula 3"/>
    <tableColumn id="4" name="M/DESCIDA" dataDxfId="266" totalsRowDxfId="265" dataCellStyle="Vírgula 3"/>
    <tableColumn id="5" name="C" dataDxfId="264" totalsRowDxfId="263" dataCellStyle="Normal 3"/>
    <tableColumn id="6" name="D" dataDxfId="262" totalsRowDxfId="261" dataCellStyle="Normal 3"/>
    <tableColumn id="7" name="E" dataDxfId="260" totalsRowDxfId="259" dataCellStyle="Normal 3"/>
    <tableColumn id="8" name="F" dataDxfId="258" totalsRowDxfId="257" dataCellStyle="Normal 3"/>
    <tableColumn id="9" name="G" dataDxfId="256" totalsRowDxfId="255" dataCellStyle="Normal 3"/>
    <tableColumn id="10" name="Total" totalsRowFunction="sum" dataDxfId="254" totalsRowDxfId="253" dataCellStyle="Normal 3">
      <calculatedColumnFormula>Tabela46792717731385042[[#This Row],[Unidades]]*Tabela46792717731385042[[#This Row],[M/DESCIDA]]</calculatedColumnFormula>
    </tableColumn>
  </tableColumns>
  <tableStyleInfo name="TableStyleLight18" showFirstColumn="0" showLastColumn="0" showRowStripes="0" showColumnStripes="0"/>
</table>
</file>

<file path=xl/tables/table84.xml><?xml version="1.0" encoding="utf-8"?>
<table xmlns="http://schemas.openxmlformats.org/spreadsheetml/2006/main" id="48" name="Tabela46792717318018449" displayName="Tabela46792717318018449" ref="B259:K261" totalsRowCount="1" headerRowDxfId="252" dataDxfId="250" headerRowBorderDxfId="251" dataCellStyle="Vírgula">
  <tableColumns count="10">
    <tableColumn id="1" name="Item" totalsRowLabel="Total" dataDxfId="249" totalsRowDxfId="248" dataCellStyle="Normal 3"/>
    <tableColumn id="2" name="Descrição / Local" dataDxfId="247" totalsRowDxfId="246" dataCellStyle="Normal 3"/>
    <tableColumn id="3" name="Quant." dataDxfId="245" totalsRowDxfId="244" dataCellStyle="Vírgula 3"/>
    <tableColumn id="4" name="B" dataDxfId="243" totalsRowDxfId="242" dataCellStyle="Vírgula 3"/>
    <tableColumn id="5" name="C" dataDxfId="241" totalsRowDxfId="240" dataCellStyle="Normal 3"/>
    <tableColumn id="6" name="D" dataDxfId="239" totalsRowDxfId="238" dataCellStyle="Normal 3"/>
    <tableColumn id="7" name="E" dataDxfId="237" totalsRowDxfId="236" dataCellStyle="Normal 3"/>
    <tableColumn id="8" name="F" dataDxfId="235" totalsRowDxfId="234" dataCellStyle="Normal 3"/>
    <tableColumn id="9" name="G" dataDxfId="233" totalsRowDxfId="232" dataCellStyle="Normal 3"/>
    <tableColumn id="10" name="Total" totalsRowFunction="sum" dataDxfId="231" totalsRowDxfId="230" dataCellStyle="Normal 3">
      <calculatedColumnFormula>Tabela46792717318018449[[#This Row],[Quant.]]</calculatedColumnFormula>
    </tableColumn>
  </tableColumns>
  <tableStyleInfo name="TableStyleLight18" showFirstColumn="0" showLastColumn="0" showRowStripes="0" showColumnStripes="0"/>
</table>
</file>

<file path=xl/tables/table85.xml><?xml version="1.0" encoding="utf-8"?>
<table xmlns="http://schemas.openxmlformats.org/spreadsheetml/2006/main" id="50" name="Tabela4679271731801844951" displayName="Tabela4679271731801844951" ref="B265:K267" totalsRowCount="1" headerRowDxfId="229" dataDxfId="227" headerRowBorderDxfId="228" dataCellStyle="Vírgula">
  <tableColumns count="10">
    <tableColumn id="1" name="Item" totalsRowLabel="Total" dataDxfId="226" totalsRowDxfId="225" dataCellStyle="Normal 3"/>
    <tableColumn id="2" name="Descrição / Local" dataDxfId="224" totalsRowDxfId="223" dataCellStyle="Normal 3"/>
    <tableColumn id="3" name="Quant. SPLIT" dataDxfId="222" totalsRowDxfId="221" dataCellStyle="Vírgula 3"/>
    <tableColumn id="4" name="Metros / SPLIT" dataDxfId="220" totalsRowDxfId="219" dataCellStyle="Vírgula 3"/>
    <tableColumn id="5" name="C" dataDxfId="218" totalsRowDxfId="217" dataCellStyle="Normal 3"/>
    <tableColumn id="6" name="D" dataDxfId="216" totalsRowDxfId="215" dataCellStyle="Normal 3"/>
    <tableColumn id="7" name="E" dataDxfId="214" totalsRowDxfId="213" dataCellStyle="Normal 3"/>
    <tableColumn id="8" name="F" dataDxfId="212" totalsRowDxfId="211" dataCellStyle="Normal 3"/>
    <tableColumn id="9" name="G" dataDxfId="210" totalsRowDxfId="209" dataCellStyle="Normal 3"/>
    <tableColumn id="10" name="Total" totalsRowFunction="sum" dataDxfId="208" totalsRowDxfId="207" dataCellStyle="Normal 3">
      <calculatedColumnFormula>Tabela4679271731801844951[[#This Row],[Quant. SPLIT]]*Tabela4679271731801844951[[#This Row],[Metros / SPLIT]]</calculatedColumnFormula>
    </tableColumn>
  </tableColumns>
  <tableStyleInfo name="TableStyleLight18" showFirstColumn="0" showLastColumn="0" showRowStripes="0" showColumnStripes="0"/>
</table>
</file>

<file path=xl/tables/table86.xml><?xml version="1.0" encoding="utf-8"?>
<table xmlns="http://schemas.openxmlformats.org/spreadsheetml/2006/main" id="51" name="Tabela467927173180184495152" displayName="Tabela467927173180184495152" ref="B271:K273" totalsRowCount="1" headerRowDxfId="206" dataDxfId="204" headerRowBorderDxfId="205" dataCellStyle="Vírgula">
  <tableColumns count="10">
    <tableColumn id="1" name="Item" totalsRowLabel="Total" dataDxfId="203" totalsRowDxfId="202" dataCellStyle="Normal 3"/>
    <tableColumn id="2" name="Descrição / Local" dataDxfId="201" totalsRowDxfId="200" dataCellStyle="Normal 3"/>
    <tableColumn id="3" name="Quant. SPLIT" dataDxfId="199" totalsRowDxfId="198" dataCellStyle="Vírgula 3"/>
    <tableColumn id="4" name="Metros / SPLIT" dataDxfId="197" totalsRowDxfId="196" dataCellStyle="Vírgula 3"/>
    <tableColumn id="5" name="C" dataDxfId="195" totalsRowDxfId="194" dataCellStyle="Normal 3"/>
    <tableColumn id="6" name="D" dataDxfId="193" totalsRowDxfId="192" dataCellStyle="Normal 3"/>
    <tableColumn id="7" name="E" dataDxfId="191" totalsRowDxfId="190" dataCellStyle="Normal 3"/>
    <tableColumn id="8" name="F" dataDxfId="189" totalsRowDxfId="188" dataCellStyle="Normal 3"/>
    <tableColumn id="9" name="G" dataDxfId="187" totalsRowDxfId="186" dataCellStyle="Normal 3"/>
    <tableColumn id="10" name="Total" totalsRowFunction="sum" dataDxfId="185" totalsRowDxfId="184" dataCellStyle="Normal 3">
      <calculatedColumnFormula>Tabela467927173180184495152[[#This Row],[Quant. SPLIT]]*Tabela467927173180184495152[[#This Row],[Metros / SPLIT]]</calculatedColumnFormula>
    </tableColumn>
  </tableColumns>
  <tableStyleInfo name="TableStyleLight18" showFirstColumn="0" showLastColumn="0" showRowStripes="0" showColumnStripes="0"/>
</table>
</file>

<file path=xl/tables/table87.xml><?xml version="1.0" encoding="utf-8"?>
<table xmlns="http://schemas.openxmlformats.org/spreadsheetml/2006/main" id="56" name="Tabela46792717731384057" displayName="Tabela46792717731384057" ref="B220:K230" totalsRowCount="1" headerRowDxfId="183" dataDxfId="181" headerRowBorderDxfId="182" dataCellStyle="Vírgula">
  <tableColumns count="10">
    <tableColumn id="1" name="Item" totalsRowLabel="Total" dataDxfId="180" totalsRowDxfId="179" dataCellStyle="Normal 3"/>
    <tableColumn id="2" name="Descrição / Local" dataDxfId="178" totalsRowDxfId="177" dataCellStyle="Normal 3"/>
    <tableColumn id="3" name="ESTAÇÕES" dataDxfId="176" totalsRowDxfId="175" dataCellStyle="Vírgula"/>
    <tableColumn id="4" name="PT/EST" dataDxfId="174" totalsRowDxfId="173" dataCellStyle="Vírgula"/>
    <tableColumn id="5" name="CONEC/PT" dataDxfId="172" totalsRowDxfId="171" dataCellStyle="Vírgula"/>
    <tableColumn id="6" name="COEF" dataDxfId="170" totalsRowDxfId="169" dataCellStyle="Vírgula"/>
    <tableColumn id="7" name="E" dataDxfId="168" totalsRowDxfId="167" dataCellStyle="Normal 3"/>
    <tableColumn id="8" name="F" dataDxfId="166" totalsRowDxfId="165" dataCellStyle="Normal 3"/>
    <tableColumn id="9" name="G" dataDxfId="164" totalsRowDxfId="163" dataCellStyle="Normal 3"/>
    <tableColumn id="10" name="Total" totalsRowFunction="sum" dataDxfId="162" totalsRowDxfId="161" dataCellStyle="Vírgula">
      <calculatedColumnFormula>Tabela46792717731384057[[#This Row],[ESTAÇÕES]]*Tabela46792717731384057[[#This Row],[PT/EST]]*Tabela46792717731384057[[#This Row],[CONEC/PT]]*Tabela46792717731384057[[#This Row],[COEF]]</calculatedColumnFormula>
    </tableColumn>
  </tableColumns>
  <tableStyleInfo name="TableStyleLight18" showFirstColumn="0" showLastColumn="0" showRowStripes="0" showColumnStripes="0"/>
</table>
</file>

<file path=xl/tables/table88.xml><?xml version="1.0" encoding="utf-8"?>
<table xmlns="http://schemas.openxmlformats.org/spreadsheetml/2006/main" id="57" name="Tabela4679271773138504258" displayName="Tabela4679271773138504258" ref="B234:K236" totalsRowCount="1" headerRowDxfId="160" dataDxfId="158" headerRowBorderDxfId="159" dataCellStyle="Vírgula">
  <tableColumns count="10">
    <tableColumn id="1" name="Item" totalsRowLabel="Total" dataDxfId="157" totalsRowDxfId="156" dataCellStyle="Normal 3"/>
    <tableColumn id="2" name="Descrição / Local" dataDxfId="155" totalsRowDxfId="154" dataCellStyle="Normal 3"/>
    <tableColumn id="3" name="Unidades" dataDxfId="153" totalsRowDxfId="152" dataCellStyle="Normal 3"/>
    <tableColumn id="4" name="B" dataDxfId="151" totalsRowDxfId="150" dataCellStyle="Normal 3"/>
    <tableColumn id="5" name="C" dataDxfId="149" totalsRowDxfId="148" dataCellStyle="Normal 3"/>
    <tableColumn id="6" name="D" dataDxfId="147" totalsRowDxfId="146" dataCellStyle="Normal 3"/>
    <tableColumn id="7" name="E" dataDxfId="145" totalsRowDxfId="144" dataCellStyle="Normal 3"/>
    <tableColumn id="8" name="F" dataDxfId="143" totalsRowDxfId="142" dataCellStyle="Normal 3"/>
    <tableColumn id="9" name="G" dataDxfId="141" totalsRowDxfId="140" dataCellStyle="Normal 3"/>
    <tableColumn id="10" name="Total" totalsRowFunction="sum" dataDxfId="139" totalsRowDxfId="138" dataCellStyle="Normal 3">
      <calculatedColumnFormula>D235</calculatedColumnFormula>
    </tableColumn>
  </tableColumns>
  <tableStyleInfo name="TableStyleLight18" showFirstColumn="0" showLastColumn="0" showRowStripes="0" showColumnStripes="0"/>
</table>
</file>

<file path=xl/tables/table89.xml><?xml version="1.0" encoding="utf-8"?>
<table xmlns="http://schemas.openxmlformats.org/spreadsheetml/2006/main" id="58" name="Tabela46792717318018459" displayName="Tabela46792717318018459" ref="B249:K252" totalsRowCount="1" headerRowDxfId="137" dataDxfId="135" headerRowBorderDxfId="136" dataCellStyle="Vírgula">
  <tableColumns count="10">
    <tableColumn id="1" name="Item" totalsRowLabel="Total" dataDxfId="134" totalsRowDxfId="133" dataCellStyle="Normal 3"/>
    <tableColumn id="2" name="Descrição / Local" dataDxfId="132" totalsRowDxfId="131" dataCellStyle="Normal 3"/>
    <tableColumn id="3" name="Quant." dataDxfId="130" totalsRowDxfId="129" dataCellStyle="Vírgula 3"/>
    <tableColumn id="4" name="B" dataDxfId="128" totalsRowDxfId="127" dataCellStyle="Vírgula 3"/>
    <tableColumn id="5" name="C" dataDxfId="126" totalsRowDxfId="125" dataCellStyle="Normal 3"/>
    <tableColumn id="6" name="D" dataDxfId="124" totalsRowDxfId="123" dataCellStyle="Normal 3"/>
    <tableColumn id="7" name="E" dataDxfId="122" totalsRowDxfId="121" dataCellStyle="Normal 3"/>
    <tableColumn id="8" name="F" dataDxfId="120" totalsRowDxfId="119" dataCellStyle="Normal 3"/>
    <tableColumn id="9" name="G" dataDxfId="118" totalsRowDxfId="117" dataCellStyle="Normal 3"/>
    <tableColumn id="10" name="Total" totalsRowFunction="sum" dataDxfId="116" totalsRowDxfId="115" dataCellStyle="Normal 3">
      <calculatedColumnFormula>Tabela46792717318018459[[#This Row],[Quant.]]</calculatedColumnFormula>
    </tableColumn>
  </tableColumns>
  <tableStyleInfo name="TableStyleLight18" showFirstColumn="0" showLastColumn="0" showRowStripes="0" showColumnStripes="0"/>
</table>
</file>

<file path=xl/tables/table9.xml><?xml version="1.0" encoding="utf-8"?>
<table xmlns="http://schemas.openxmlformats.org/spreadsheetml/2006/main" id="9" name="Tabela46792" displayName="Tabela46792" ref="B158:K161" totalsRowCount="1" headerRowDxfId="2038" dataDxfId="2036" totalsRowDxfId="2035" headerRowBorderDxfId="2037" dataCellStyle="Vírgula">
  <autoFilter ref="B158:K1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" totalsRowLabel="Total" dataDxfId="2034" totalsRowDxfId="2033" dataCellStyle="Normal 3"/>
    <tableColumn id="2" name="Descrição / Local" dataDxfId="2032" totalsRowDxfId="2031" dataCellStyle="Normal 3"/>
    <tableColumn id="3" name="Comp. (m)" dataDxfId="2030" totalsRowDxfId="2029" dataCellStyle="Normal 3"/>
    <tableColumn id="4" name="Larg. (m)" dataDxfId="2028" totalsRowDxfId="2027" dataCellStyle="Normal 3"/>
    <tableColumn id="5" name="C" dataDxfId="2026" totalsRowDxfId="2025" dataCellStyle="Normal 3"/>
    <tableColumn id="6" name="D" dataDxfId="2024" totalsRowDxfId="2023" dataCellStyle="Normal 3"/>
    <tableColumn id="7" name="E" dataDxfId="2022" totalsRowDxfId="2021" dataCellStyle="Normal 3"/>
    <tableColumn id="8" name="F" dataDxfId="2020" totalsRowDxfId="2019" dataCellStyle="Normal 3"/>
    <tableColumn id="9" name="G" dataDxfId="2018" totalsRowDxfId="2017" dataCellStyle="Normal 3"/>
    <tableColumn id="10" name="Total" totalsRowFunction="sum" dataDxfId="2016" totalsRowDxfId="2015" dataCellStyle="Normal 3">
      <calculatedColumnFormula>D159*Tabela46792[[#This Row],[Larg. (m)]]</calculatedColumnFormula>
    </tableColumn>
  </tableColumns>
  <tableStyleInfo name="TableStyleLight18" showFirstColumn="0" showLastColumn="0" showRowStripes="0" showColumnStripes="0"/>
</table>
</file>

<file path=xl/tables/table90.xml><?xml version="1.0" encoding="utf-8"?>
<table xmlns="http://schemas.openxmlformats.org/spreadsheetml/2006/main" id="59" name="Tabela46792715860" displayName="Tabela46792715860" ref="B29:K31" totalsRowCount="1" headerRowDxfId="114" dataDxfId="112" headerRowBorderDxfId="113" dataCellStyle="Vírgula">
  <tableColumns count="10">
    <tableColumn id="1" name="Item" totalsRowLabel="Total" dataDxfId="111" totalsRowDxfId="110"/>
    <tableColumn id="2" name="Descrição / Local" dataDxfId="109" totalsRowDxfId="108"/>
    <tableColumn id="3" name="Quant." dataDxfId="107" totalsRowDxfId="106" dataCellStyle="Vírgula"/>
    <tableColumn id="4" name="B" dataDxfId="105" totalsRowDxfId="104" dataCellStyle="Vírgula"/>
    <tableColumn id="5" name="C" dataDxfId="103" totalsRowDxfId="102" dataCellStyle="Vírgula"/>
    <tableColumn id="6" name="D" dataDxfId="101" totalsRowDxfId="100" dataCellStyle="Vírgula"/>
    <tableColumn id="7" name="E" dataDxfId="99" totalsRowDxfId="98" dataCellStyle="Vírgula"/>
    <tableColumn id="8" name="F" dataDxfId="97" totalsRowDxfId="96" dataCellStyle="Vírgula"/>
    <tableColumn id="9" name="G" dataDxfId="95" totalsRowDxfId="94" dataCellStyle="Vírgula"/>
    <tableColumn id="10" name="Total" totalsRowFunction="sum" dataDxfId="93" totalsRowDxfId="92" dataCellStyle="Vírgula">
      <calculatedColumnFormula>Tabela46792715860[[#This Row],[Quant.]]</calculatedColumnFormula>
    </tableColumn>
  </tableColumns>
  <tableStyleInfo name="TableStyleLight18" showFirstColumn="0" showLastColumn="0" showRowStripes="0" showColumnStripes="0"/>
</table>
</file>

<file path=xl/tables/table91.xml><?xml version="1.0" encoding="utf-8"?>
<table xmlns="http://schemas.openxmlformats.org/spreadsheetml/2006/main" id="60" name="Tabela4679271586061" displayName="Tabela4679271586061" ref="B35:K37" totalsRowCount="1" headerRowDxfId="91" dataDxfId="89" headerRowBorderDxfId="90" dataCellStyle="Vírgula">
  <tableColumns count="10">
    <tableColumn id="1" name="Item" totalsRowLabel="Total" dataDxfId="88" totalsRowDxfId="87"/>
    <tableColumn id="2" name="Descrição / Local" dataDxfId="86" totalsRowDxfId="85"/>
    <tableColumn id="3" name="Quant." dataDxfId="84" totalsRowDxfId="83" dataCellStyle="Vírgula"/>
    <tableColumn id="4" name="Comp.(m)" dataDxfId="82" totalsRowDxfId="81" dataCellStyle="Vírgula"/>
    <tableColumn id="5" name="C" dataDxfId="80" totalsRowDxfId="79" dataCellStyle="Vírgula"/>
    <tableColumn id="6" name="D" dataDxfId="78" totalsRowDxfId="77" dataCellStyle="Vírgula"/>
    <tableColumn id="7" name="E" dataDxfId="76" totalsRowDxfId="75" dataCellStyle="Vírgula"/>
    <tableColumn id="8" name="F" dataDxfId="74" totalsRowDxfId="73" dataCellStyle="Vírgula"/>
    <tableColumn id="9" name="G" dataDxfId="72" totalsRowDxfId="71" dataCellStyle="Vírgula"/>
    <tableColumn id="10" name="Total" totalsRowFunction="sum" dataDxfId="70" totalsRowDxfId="69" dataCellStyle="Vírgula">
      <calculatedColumnFormula>Tabela4679271586061[[#This Row],[Quant.]]*Tabela4679271586061[[#This Row],[Comp.(m)]]</calculatedColumnFormula>
    </tableColumn>
  </tableColumns>
  <tableStyleInfo name="TableStyleLight18" showFirstColumn="0" showLastColumn="0" showRowStripes="0" showColumnStripes="0"/>
</table>
</file>

<file path=xl/tables/table92.xml><?xml version="1.0" encoding="utf-8"?>
<table xmlns="http://schemas.openxmlformats.org/spreadsheetml/2006/main" id="62" name="Tabela467927177313863" displayName="Tabela467927177313863" ref="B184:K187" totalsRowCount="1" headerRowDxfId="68" dataDxfId="66" headerRowBorderDxfId="67" dataCellStyle="Vírgula">
  <tableColumns count="10">
    <tableColumn id="1" name="Item" totalsRowLabel="Total" dataDxfId="65" totalsRowDxfId="64" dataCellStyle="Normal 3"/>
    <tableColumn id="2" name="Descrição / Local" dataDxfId="63" totalsRowDxfId="62" dataCellStyle="Normal 3"/>
    <tableColumn id="3" name="Unidades" dataDxfId="61" totalsRowDxfId="60" dataCellStyle="Normal 3"/>
    <tableColumn id="4" name="B" dataDxfId="59" totalsRowDxfId="58" dataCellStyle="Normal 3"/>
    <tableColumn id="5" name="C" dataDxfId="57" totalsRowDxfId="56" dataCellStyle="Normal 3"/>
    <tableColumn id="6" name="D" dataDxfId="55" totalsRowDxfId="54" dataCellStyle="Normal 3"/>
    <tableColumn id="7" name="E" dataDxfId="53" totalsRowDxfId="52" dataCellStyle="Normal 3"/>
    <tableColumn id="8" name="F" dataDxfId="51" totalsRowDxfId="50" dataCellStyle="Normal 3"/>
    <tableColumn id="9" name="G" dataDxfId="49" totalsRowDxfId="48" dataCellStyle="Normal 3"/>
    <tableColumn id="10" name="Total" totalsRowFunction="sum" dataDxfId="47" totalsRowDxfId="46" dataCellStyle="Normal 3">
      <calculatedColumnFormula>D185</calculatedColumnFormula>
    </tableColumn>
  </tableColumns>
  <tableStyleInfo name="TableStyleLight18" showFirstColumn="0" showLastColumn="0" showRowStripes="0" showColumnStripes="0"/>
</table>
</file>

<file path=xl/tables/table93.xml><?xml version="1.0" encoding="utf-8"?>
<table xmlns="http://schemas.openxmlformats.org/spreadsheetml/2006/main" id="52" name="Tabela46792717553" displayName="Tabela46792717553" ref="B129:K138" totalsRowCount="1" headerRowDxfId="45" dataDxfId="43" headerRowBorderDxfId="44" dataCellStyle="Vírgula">
  <tableColumns count="10">
    <tableColumn id="1" name="Item" totalsRowLabel="Total" dataDxfId="42" totalsRowDxfId="41" dataCellStyle="Normal 3"/>
    <tableColumn id="2" name="Descrição / Local" dataDxfId="40" totalsRowDxfId="39" dataCellStyle="Normal 3"/>
    <tableColumn id="3" name="Estações" dataDxfId="38" totalsRowDxfId="37" dataCellStyle="Normal 3"/>
    <tableColumn id="4" name="Pontos/Estação" dataDxfId="36" totalsRowDxfId="35" dataCellStyle="Normal 3"/>
    <tableColumn id="5" name="m/ponto" dataDxfId="34" totalsRowDxfId="33" dataCellStyle="Vírgula"/>
    <tableColumn id="6" name="COEF" dataDxfId="32" totalsRowDxfId="31" dataCellStyle="Vírgula"/>
    <tableColumn id="7" name="E" dataDxfId="30" totalsRowDxfId="29" dataCellStyle="Normal 3"/>
    <tableColumn id="8" name="F" dataDxfId="28" totalsRowDxfId="27" dataCellStyle="Normal 3"/>
    <tableColumn id="9" name="G" dataDxfId="26" totalsRowDxfId="25" dataCellStyle="Normal 3"/>
    <tableColumn id="10" name="Total" totalsRowFunction="sum" dataDxfId="24" totalsRowDxfId="23" dataCellStyle="Normal 3">
      <calculatedColumnFormula>Tabela46792717553[[#This Row],[Estações]]*Tabela46792717553[[#This Row],[Pontos/Estação]]*Tabela46792717553[[#This Row],[m/ponto]]*Tabela46792717553[[#This Row],[COEF]]</calculatedColumnFormula>
    </tableColumn>
  </tableColumns>
  <tableStyleInfo name="TableStyleLight18" showFirstColumn="0" showLastColumn="0" showRowStripes="0" showColumnStripes="0"/>
</table>
</file>

<file path=xl/tables/table94.xml><?xml version="1.0" encoding="utf-8"?>
<table xmlns="http://schemas.openxmlformats.org/spreadsheetml/2006/main" id="63" name="Tabela46792717731386364" displayName="Tabela46792717731386364" ref="B178:K180" totalsRowCount="1" headerRowDxfId="22" dataDxfId="20" headerRowBorderDxfId="21" dataCellStyle="Vírgula">
  <tableColumns count="10">
    <tableColumn id="1" name="Item" totalsRowLabel="Total" dataDxfId="19" totalsRowDxfId="18" dataCellStyle="Normal 3"/>
    <tableColumn id="2" name="Descrição / Local" dataDxfId="17" totalsRowDxfId="16" dataCellStyle="Normal 3"/>
    <tableColumn id="3" name="Unidades" dataDxfId="15" totalsRowDxfId="14" dataCellStyle="Normal 3"/>
    <tableColumn id="4" name="m/ponto" dataDxfId="13" totalsRowDxfId="12" dataCellStyle="Normal 3"/>
    <tableColumn id="5" name="C" dataDxfId="11" totalsRowDxfId="10" dataCellStyle="Normal 3"/>
    <tableColumn id="6" name="D" dataDxfId="9" totalsRowDxfId="8" dataCellStyle="Normal 3"/>
    <tableColumn id="7" name="E" dataDxfId="7" totalsRowDxfId="6" dataCellStyle="Normal 3"/>
    <tableColumn id="8" name="F" dataDxfId="5" totalsRowDxfId="4" dataCellStyle="Normal 3"/>
    <tableColumn id="9" name="G" dataDxfId="3" totalsRowDxfId="2" dataCellStyle="Normal 3"/>
    <tableColumn id="10" name="Total" totalsRowFunction="sum" dataDxfId="1" totalsRowDxfId="0" dataCellStyle="Normal 3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47" Type="http://schemas.openxmlformats.org/officeDocument/2006/relationships/table" Target="../tables/table45.xml"/><Relationship Id="rId50" Type="http://schemas.openxmlformats.org/officeDocument/2006/relationships/table" Target="../tables/table48.xml"/><Relationship Id="rId55" Type="http://schemas.openxmlformats.org/officeDocument/2006/relationships/table" Target="../tables/table53.xml"/><Relationship Id="rId63" Type="http://schemas.openxmlformats.org/officeDocument/2006/relationships/table" Target="../tables/table6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41" Type="http://schemas.openxmlformats.org/officeDocument/2006/relationships/table" Target="../tables/table39.xml"/><Relationship Id="rId54" Type="http://schemas.openxmlformats.org/officeDocument/2006/relationships/table" Target="../tables/table52.xml"/><Relationship Id="rId62" Type="http://schemas.openxmlformats.org/officeDocument/2006/relationships/table" Target="../tables/table6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45" Type="http://schemas.openxmlformats.org/officeDocument/2006/relationships/table" Target="../tables/table43.xml"/><Relationship Id="rId53" Type="http://schemas.openxmlformats.org/officeDocument/2006/relationships/table" Target="../tables/table51.xml"/><Relationship Id="rId58" Type="http://schemas.openxmlformats.org/officeDocument/2006/relationships/table" Target="../tables/table56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49" Type="http://schemas.openxmlformats.org/officeDocument/2006/relationships/table" Target="../tables/table47.xml"/><Relationship Id="rId57" Type="http://schemas.openxmlformats.org/officeDocument/2006/relationships/table" Target="../tables/table55.xml"/><Relationship Id="rId61" Type="http://schemas.openxmlformats.org/officeDocument/2006/relationships/table" Target="../tables/table59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52" Type="http://schemas.openxmlformats.org/officeDocument/2006/relationships/table" Target="../tables/table50.xml"/><Relationship Id="rId60" Type="http://schemas.openxmlformats.org/officeDocument/2006/relationships/table" Target="../tables/table5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48" Type="http://schemas.openxmlformats.org/officeDocument/2006/relationships/table" Target="../tables/table46.xml"/><Relationship Id="rId56" Type="http://schemas.openxmlformats.org/officeDocument/2006/relationships/table" Target="../tables/table54.xml"/><Relationship Id="rId64" Type="http://schemas.openxmlformats.org/officeDocument/2006/relationships/table" Target="../tables/table62.xml"/><Relationship Id="rId8" Type="http://schemas.openxmlformats.org/officeDocument/2006/relationships/table" Target="../tables/table6.xml"/><Relationship Id="rId51" Type="http://schemas.openxmlformats.org/officeDocument/2006/relationships/table" Target="../tables/table49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46" Type="http://schemas.openxmlformats.org/officeDocument/2006/relationships/table" Target="../tables/table44.xml"/><Relationship Id="rId59" Type="http://schemas.openxmlformats.org/officeDocument/2006/relationships/table" Target="../tables/table5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9.xml"/><Relationship Id="rId13" Type="http://schemas.openxmlformats.org/officeDocument/2006/relationships/table" Target="../tables/table74.xml"/><Relationship Id="rId18" Type="http://schemas.openxmlformats.org/officeDocument/2006/relationships/table" Target="../tables/table79.xml"/><Relationship Id="rId26" Type="http://schemas.openxmlformats.org/officeDocument/2006/relationships/table" Target="../tables/table87.xml"/><Relationship Id="rId3" Type="http://schemas.openxmlformats.org/officeDocument/2006/relationships/table" Target="../tables/table64.xml"/><Relationship Id="rId21" Type="http://schemas.openxmlformats.org/officeDocument/2006/relationships/table" Target="../tables/table82.xml"/><Relationship Id="rId7" Type="http://schemas.openxmlformats.org/officeDocument/2006/relationships/table" Target="../tables/table68.xml"/><Relationship Id="rId12" Type="http://schemas.openxmlformats.org/officeDocument/2006/relationships/table" Target="../tables/table73.xml"/><Relationship Id="rId17" Type="http://schemas.openxmlformats.org/officeDocument/2006/relationships/table" Target="../tables/table78.xml"/><Relationship Id="rId25" Type="http://schemas.openxmlformats.org/officeDocument/2006/relationships/table" Target="../tables/table86.xml"/><Relationship Id="rId33" Type="http://schemas.openxmlformats.org/officeDocument/2006/relationships/table" Target="../tables/table94.xml"/><Relationship Id="rId2" Type="http://schemas.openxmlformats.org/officeDocument/2006/relationships/table" Target="../tables/table63.xml"/><Relationship Id="rId16" Type="http://schemas.openxmlformats.org/officeDocument/2006/relationships/table" Target="../tables/table77.xml"/><Relationship Id="rId20" Type="http://schemas.openxmlformats.org/officeDocument/2006/relationships/table" Target="../tables/table81.xml"/><Relationship Id="rId29" Type="http://schemas.openxmlformats.org/officeDocument/2006/relationships/table" Target="../tables/table90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7.xml"/><Relationship Id="rId11" Type="http://schemas.openxmlformats.org/officeDocument/2006/relationships/table" Target="../tables/table72.xml"/><Relationship Id="rId24" Type="http://schemas.openxmlformats.org/officeDocument/2006/relationships/table" Target="../tables/table85.xml"/><Relationship Id="rId32" Type="http://schemas.openxmlformats.org/officeDocument/2006/relationships/table" Target="../tables/table93.xml"/><Relationship Id="rId5" Type="http://schemas.openxmlformats.org/officeDocument/2006/relationships/table" Target="../tables/table66.xml"/><Relationship Id="rId15" Type="http://schemas.openxmlformats.org/officeDocument/2006/relationships/table" Target="../tables/table76.xml"/><Relationship Id="rId23" Type="http://schemas.openxmlformats.org/officeDocument/2006/relationships/table" Target="../tables/table84.xml"/><Relationship Id="rId28" Type="http://schemas.openxmlformats.org/officeDocument/2006/relationships/table" Target="../tables/table89.xml"/><Relationship Id="rId10" Type="http://schemas.openxmlformats.org/officeDocument/2006/relationships/table" Target="../tables/table71.xml"/><Relationship Id="rId19" Type="http://schemas.openxmlformats.org/officeDocument/2006/relationships/table" Target="../tables/table80.xml"/><Relationship Id="rId31" Type="http://schemas.openxmlformats.org/officeDocument/2006/relationships/table" Target="../tables/table92.xml"/><Relationship Id="rId4" Type="http://schemas.openxmlformats.org/officeDocument/2006/relationships/table" Target="../tables/table65.xml"/><Relationship Id="rId9" Type="http://schemas.openxmlformats.org/officeDocument/2006/relationships/table" Target="../tables/table70.xml"/><Relationship Id="rId14" Type="http://schemas.openxmlformats.org/officeDocument/2006/relationships/table" Target="../tables/table75.xml"/><Relationship Id="rId22" Type="http://schemas.openxmlformats.org/officeDocument/2006/relationships/table" Target="../tables/table83.xml"/><Relationship Id="rId27" Type="http://schemas.openxmlformats.org/officeDocument/2006/relationships/table" Target="../tables/table88.xml"/><Relationship Id="rId30" Type="http://schemas.openxmlformats.org/officeDocument/2006/relationships/table" Target="../tables/table9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abSelected="1" workbookViewId="0">
      <selection activeCell="L10" sqref="L10"/>
    </sheetView>
  </sheetViews>
  <sheetFormatPr defaultRowHeight="12.75" x14ac:dyDescent="0.2"/>
  <cols>
    <col min="1" max="1" width="4.5" style="100" bestFit="1" customWidth="1"/>
    <col min="2" max="2" width="8.75" style="3" customWidth="1"/>
    <col min="3" max="3" width="6.125" style="3" bestFit="1" customWidth="1"/>
    <col min="4" max="4" width="48.5" style="6" customWidth="1"/>
    <col min="5" max="5" width="4.25" style="106" bestFit="1" customWidth="1"/>
    <col min="6" max="6" width="7.125" style="3" bestFit="1" customWidth="1"/>
    <col min="7" max="7" width="8.625" style="3" bestFit="1" customWidth="1"/>
    <col min="8" max="8" width="12.375" style="7" customWidth="1"/>
    <col min="9" max="9" width="7.125" style="175" customWidth="1"/>
    <col min="10" max="10" width="8.375" style="7" customWidth="1"/>
    <col min="11" max="11" width="12.375" style="7" customWidth="1"/>
    <col min="12" max="16384" width="9" style="3"/>
  </cols>
  <sheetData>
    <row r="1" spans="1:11" x14ac:dyDescent="0.2">
      <c r="D1" s="3"/>
    </row>
    <row r="2" spans="1:11" x14ac:dyDescent="0.2">
      <c r="D2" s="3"/>
    </row>
    <row r="3" spans="1:11" ht="15.75" x14ac:dyDescent="0.25">
      <c r="C3" s="102" t="s">
        <v>556</v>
      </c>
    </row>
    <row r="4" spans="1:11" ht="15" customHeight="1" x14ac:dyDescent="0.25">
      <c r="C4" s="103" t="s">
        <v>557</v>
      </c>
    </row>
    <row r="5" spans="1:11" ht="12.75" customHeight="1" x14ac:dyDescent="0.2"/>
    <row r="6" spans="1:11" x14ac:dyDescent="0.2">
      <c r="A6" s="96"/>
      <c r="B6" s="104"/>
      <c r="C6" s="104"/>
      <c r="D6" s="104"/>
      <c r="J6" s="185" t="s">
        <v>544</v>
      </c>
      <c r="K6" s="186"/>
    </row>
    <row r="7" spans="1:11" ht="26.25" customHeight="1" x14ac:dyDescent="0.2">
      <c r="A7" s="97"/>
      <c r="B7" s="104"/>
      <c r="C7" s="104"/>
      <c r="D7" s="104"/>
      <c r="J7" s="187" t="s">
        <v>550</v>
      </c>
      <c r="K7" s="188"/>
    </row>
    <row r="8" spans="1:11" ht="12.75" customHeight="1" x14ac:dyDescent="0.2">
      <c r="A8" s="3"/>
      <c r="H8" s="3"/>
      <c r="I8" s="176"/>
      <c r="J8" s="189" t="s">
        <v>545</v>
      </c>
      <c r="K8" s="190">
        <v>136517.12</v>
      </c>
    </row>
    <row r="9" spans="1:11" x14ac:dyDescent="0.2">
      <c r="A9" s="148" t="s">
        <v>558</v>
      </c>
      <c r="B9" s="149"/>
      <c r="C9" s="149"/>
      <c r="D9" s="149"/>
      <c r="E9" s="149"/>
      <c r="F9" s="149"/>
      <c r="G9" s="149"/>
      <c r="H9" s="149"/>
      <c r="I9" s="149"/>
      <c r="J9" s="149"/>
      <c r="K9" s="168"/>
    </row>
    <row r="10" spans="1:11" ht="25.5" x14ac:dyDescent="0.2">
      <c r="A10" s="61" t="s">
        <v>0</v>
      </c>
      <c r="B10" s="62" t="s">
        <v>1</v>
      </c>
      <c r="C10" s="61" t="s">
        <v>2</v>
      </c>
      <c r="D10" s="61" t="s">
        <v>3</v>
      </c>
      <c r="E10" s="63" t="s">
        <v>4</v>
      </c>
      <c r="F10" s="62" t="s">
        <v>5</v>
      </c>
      <c r="G10" s="62" t="s">
        <v>455</v>
      </c>
      <c r="H10" s="62" t="s">
        <v>247</v>
      </c>
      <c r="I10" s="177"/>
      <c r="J10" s="62" t="s">
        <v>5</v>
      </c>
      <c r="K10" s="62" t="s">
        <v>6</v>
      </c>
    </row>
    <row r="11" spans="1:11" x14ac:dyDescent="0.2">
      <c r="A11" s="98" t="s">
        <v>7</v>
      </c>
      <c r="B11" s="12"/>
      <c r="C11" s="12"/>
      <c r="D11" s="12" t="s">
        <v>8</v>
      </c>
      <c r="E11" s="98"/>
      <c r="F11" s="13"/>
      <c r="G11" s="12"/>
      <c r="H11" s="12"/>
      <c r="I11" s="178"/>
      <c r="J11" s="169"/>
      <c r="K11" s="169">
        <v>26742.080000000002</v>
      </c>
    </row>
    <row r="12" spans="1:11" ht="25.5" x14ac:dyDescent="0.2">
      <c r="A12" s="99" t="s">
        <v>9</v>
      </c>
      <c r="B12" s="9" t="s">
        <v>10</v>
      </c>
      <c r="C12" s="1" t="s">
        <v>11</v>
      </c>
      <c r="D12" s="1" t="s">
        <v>12</v>
      </c>
      <c r="E12" s="2" t="s">
        <v>13</v>
      </c>
      <c r="F12" s="137">
        <v>220</v>
      </c>
      <c r="G12" s="10">
        <v>51.55</v>
      </c>
      <c r="H12" s="11">
        <v>65.98</v>
      </c>
      <c r="I12" s="179"/>
      <c r="J12" s="183">
        <v>176</v>
      </c>
      <c r="K12" s="183">
        <v>11612.48</v>
      </c>
    </row>
    <row r="13" spans="1:11" ht="25.5" x14ac:dyDescent="0.2">
      <c r="A13" s="99" t="s">
        <v>14</v>
      </c>
      <c r="B13" s="9" t="s">
        <v>15</v>
      </c>
      <c r="C13" s="1" t="s">
        <v>11</v>
      </c>
      <c r="D13" s="1" t="s">
        <v>16</v>
      </c>
      <c r="E13" s="2" t="s">
        <v>13</v>
      </c>
      <c r="F13" s="137">
        <v>220</v>
      </c>
      <c r="G13" s="10">
        <v>147.75</v>
      </c>
      <c r="H13" s="11">
        <v>189.12</v>
      </c>
      <c r="I13" s="179"/>
      <c r="J13" s="183">
        <v>80</v>
      </c>
      <c r="K13" s="183">
        <v>15129.6</v>
      </c>
    </row>
    <row r="14" spans="1:11" x14ac:dyDescent="0.2">
      <c r="A14" s="98" t="s">
        <v>17</v>
      </c>
      <c r="B14" s="12"/>
      <c r="C14" s="12"/>
      <c r="D14" s="12" t="s">
        <v>18</v>
      </c>
      <c r="E14" s="98"/>
      <c r="F14" s="138"/>
      <c r="G14" s="12"/>
      <c r="H14" s="12"/>
      <c r="I14" s="178"/>
      <c r="J14" s="169"/>
      <c r="K14" s="169">
        <v>0</v>
      </c>
    </row>
    <row r="15" spans="1:11" ht="25.5" x14ac:dyDescent="0.2">
      <c r="A15" s="99" t="s">
        <v>19</v>
      </c>
      <c r="B15" s="9" t="s">
        <v>20</v>
      </c>
      <c r="C15" s="1" t="s">
        <v>11</v>
      </c>
      <c r="D15" s="1" t="s">
        <v>276</v>
      </c>
      <c r="E15" s="2" t="s">
        <v>21</v>
      </c>
      <c r="F15" s="137">
        <v>20</v>
      </c>
      <c r="G15" s="10">
        <v>494.21</v>
      </c>
      <c r="H15" s="11">
        <v>632.58000000000004</v>
      </c>
      <c r="I15" s="179"/>
      <c r="J15" s="170"/>
      <c r="K15" s="170">
        <v>0</v>
      </c>
    </row>
    <row r="16" spans="1:11" ht="25.5" x14ac:dyDescent="0.2">
      <c r="A16" s="99" t="s">
        <v>22</v>
      </c>
      <c r="B16" s="9" t="s">
        <v>23</v>
      </c>
      <c r="C16" s="1" t="s">
        <v>11</v>
      </c>
      <c r="D16" s="1" t="s">
        <v>24</v>
      </c>
      <c r="E16" s="2" t="s">
        <v>21</v>
      </c>
      <c r="F16" s="137">
        <v>20</v>
      </c>
      <c r="G16" s="10">
        <v>599.54</v>
      </c>
      <c r="H16" s="11">
        <v>767.41</v>
      </c>
      <c r="I16" s="179"/>
      <c r="J16" s="170"/>
      <c r="K16" s="183">
        <v>0</v>
      </c>
    </row>
    <row r="17" spans="1:11" x14ac:dyDescent="0.2">
      <c r="A17" s="98" t="s">
        <v>25</v>
      </c>
      <c r="B17" s="12"/>
      <c r="C17" s="12"/>
      <c r="D17" s="12" t="s">
        <v>26</v>
      </c>
      <c r="E17" s="98"/>
      <c r="F17" s="138"/>
      <c r="G17" s="12"/>
      <c r="H17" s="12"/>
      <c r="I17" s="178"/>
      <c r="J17" s="169"/>
      <c r="K17" s="169">
        <v>34571.440000000002</v>
      </c>
    </row>
    <row r="18" spans="1:11" ht="25.5" x14ac:dyDescent="0.2">
      <c r="A18" s="99" t="s">
        <v>27</v>
      </c>
      <c r="B18" s="9" t="s">
        <v>28</v>
      </c>
      <c r="C18" s="1" t="s">
        <v>11</v>
      </c>
      <c r="D18" s="1" t="s">
        <v>29</v>
      </c>
      <c r="E18" s="2" t="s">
        <v>21</v>
      </c>
      <c r="F18" s="137">
        <v>100</v>
      </c>
      <c r="G18" s="10">
        <v>4.0199999999999996</v>
      </c>
      <c r="H18" s="11">
        <v>5.14</v>
      </c>
      <c r="I18" s="179"/>
      <c r="J18" s="183"/>
      <c r="K18" s="183">
        <v>0</v>
      </c>
    </row>
    <row r="19" spans="1:11" ht="25.5" x14ac:dyDescent="0.2">
      <c r="A19" s="99" t="s">
        <v>30</v>
      </c>
      <c r="B19" s="9" t="s">
        <v>31</v>
      </c>
      <c r="C19" s="1" t="s">
        <v>11</v>
      </c>
      <c r="D19" s="1" t="s">
        <v>559</v>
      </c>
      <c r="E19" s="2" t="s">
        <v>32</v>
      </c>
      <c r="F19" s="137">
        <v>100</v>
      </c>
      <c r="G19" s="10">
        <v>3.3</v>
      </c>
      <c r="H19" s="11">
        <v>4.22</v>
      </c>
      <c r="I19" s="179"/>
      <c r="J19" s="183">
        <v>29.16</v>
      </c>
      <c r="K19" s="183">
        <v>123.05</v>
      </c>
    </row>
    <row r="20" spans="1:11" ht="25.5" x14ac:dyDescent="0.2">
      <c r="A20" s="99" t="s">
        <v>33</v>
      </c>
      <c r="B20" s="9" t="s">
        <v>34</v>
      </c>
      <c r="C20" s="1" t="s">
        <v>11</v>
      </c>
      <c r="D20" s="1" t="s">
        <v>274</v>
      </c>
      <c r="E20" s="2" t="s">
        <v>21</v>
      </c>
      <c r="F20" s="137">
        <v>100</v>
      </c>
      <c r="G20" s="10">
        <v>28.85</v>
      </c>
      <c r="H20" s="11">
        <v>36.92</v>
      </c>
      <c r="I20" s="179"/>
      <c r="J20" s="183"/>
      <c r="K20" s="183">
        <v>0</v>
      </c>
    </row>
    <row r="21" spans="1:11" ht="25.5" x14ac:dyDescent="0.2">
      <c r="A21" s="99" t="s">
        <v>35</v>
      </c>
      <c r="B21" s="9" t="s">
        <v>36</v>
      </c>
      <c r="C21" s="1" t="s">
        <v>11</v>
      </c>
      <c r="D21" s="1" t="s">
        <v>275</v>
      </c>
      <c r="E21" s="2" t="s">
        <v>21</v>
      </c>
      <c r="F21" s="137">
        <v>33.6</v>
      </c>
      <c r="G21" s="10">
        <v>11.17</v>
      </c>
      <c r="H21" s="11">
        <v>14.29</v>
      </c>
      <c r="I21" s="179"/>
      <c r="J21" s="183">
        <v>9.68</v>
      </c>
      <c r="K21" s="183">
        <v>138.32</v>
      </c>
    </row>
    <row r="22" spans="1:11" ht="25.5" x14ac:dyDescent="0.2">
      <c r="A22" s="99" t="s">
        <v>37</v>
      </c>
      <c r="B22" s="9" t="s">
        <v>38</v>
      </c>
      <c r="C22" s="1" t="s">
        <v>11</v>
      </c>
      <c r="D22" s="1" t="s">
        <v>396</v>
      </c>
      <c r="E22" s="2" t="s">
        <v>39</v>
      </c>
      <c r="F22" s="137">
        <v>40</v>
      </c>
      <c r="G22" s="10">
        <v>0.88</v>
      </c>
      <c r="H22" s="11">
        <v>1.1200000000000001</v>
      </c>
      <c r="I22" s="179"/>
      <c r="J22" s="183">
        <v>44</v>
      </c>
      <c r="K22" s="183">
        <v>49.28</v>
      </c>
    </row>
    <row r="23" spans="1:11" ht="25.5" x14ac:dyDescent="0.2">
      <c r="A23" s="99" t="s">
        <v>40</v>
      </c>
      <c r="B23" s="9" t="s">
        <v>41</v>
      </c>
      <c r="C23" s="1" t="s">
        <v>11</v>
      </c>
      <c r="D23" s="1" t="s">
        <v>560</v>
      </c>
      <c r="E23" s="2" t="s">
        <v>32</v>
      </c>
      <c r="F23" s="137">
        <v>500</v>
      </c>
      <c r="G23" s="10">
        <v>0.88</v>
      </c>
      <c r="H23" s="11">
        <v>1.1200000000000001</v>
      </c>
      <c r="I23" s="179"/>
      <c r="J23" s="183"/>
      <c r="K23" s="183">
        <v>0</v>
      </c>
    </row>
    <row r="24" spans="1:11" ht="25.5" x14ac:dyDescent="0.2">
      <c r="A24" s="99" t="s">
        <v>42</v>
      </c>
      <c r="B24" s="9" t="s">
        <v>43</v>
      </c>
      <c r="C24" s="1" t="s">
        <v>11</v>
      </c>
      <c r="D24" s="1" t="s">
        <v>284</v>
      </c>
      <c r="E24" s="2" t="s">
        <v>39</v>
      </c>
      <c r="F24" s="137">
        <v>15</v>
      </c>
      <c r="G24" s="10">
        <v>14.81</v>
      </c>
      <c r="H24" s="11">
        <v>18.95</v>
      </c>
      <c r="I24" s="179"/>
      <c r="J24" s="183"/>
      <c r="K24" s="183">
        <v>0</v>
      </c>
    </row>
    <row r="25" spans="1:11" ht="25.5" x14ac:dyDescent="0.2">
      <c r="A25" s="99" t="s">
        <v>44</v>
      </c>
      <c r="B25" s="9" t="s">
        <v>45</v>
      </c>
      <c r="C25" s="1" t="s">
        <v>11</v>
      </c>
      <c r="D25" s="1" t="s">
        <v>397</v>
      </c>
      <c r="E25" s="2" t="s">
        <v>21</v>
      </c>
      <c r="F25" s="137">
        <v>150</v>
      </c>
      <c r="G25" s="10">
        <v>9.14</v>
      </c>
      <c r="H25" s="11">
        <v>11.69</v>
      </c>
      <c r="I25" s="179"/>
      <c r="J25" s="183">
        <v>4.4000000000000004</v>
      </c>
      <c r="K25" s="183">
        <v>51.43</v>
      </c>
    </row>
    <row r="26" spans="1:11" ht="51" x14ac:dyDescent="0.2">
      <c r="A26" s="99" t="s">
        <v>46</v>
      </c>
      <c r="B26" s="9" t="s">
        <v>47</v>
      </c>
      <c r="C26" s="1" t="s">
        <v>11</v>
      </c>
      <c r="D26" s="1" t="s">
        <v>48</v>
      </c>
      <c r="E26" s="2" t="s">
        <v>21</v>
      </c>
      <c r="F26" s="137">
        <v>250</v>
      </c>
      <c r="G26" s="10">
        <v>78.09</v>
      </c>
      <c r="H26" s="11">
        <v>99.95</v>
      </c>
      <c r="I26" s="179"/>
      <c r="J26" s="183">
        <v>24.53</v>
      </c>
      <c r="K26" s="183">
        <v>2451.77</v>
      </c>
    </row>
    <row r="27" spans="1:11" ht="25.5" x14ac:dyDescent="0.2">
      <c r="A27" s="99" t="s">
        <v>49</v>
      </c>
      <c r="B27" s="9" t="s">
        <v>50</v>
      </c>
      <c r="C27" s="1" t="s">
        <v>11</v>
      </c>
      <c r="D27" s="1" t="s">
        <v>51</v>
      </c>
      <c r="E27" s="2" t="s">
        <v>21</v>
      </c>
      <c r="F27" s="137">
        <v>250</v>
      </c>
      <c r="G27" s="10">
        <v>18.22</v>
      </c>
      <c r="H27" s="11">
        <v>23.32</v>
      </c>
      <c r="I27" s="179"/>
      <c r="J27" s="183">
        <v>21.12</v>
      </c>
      <c r="K27" s="183">
        <v>492.51</v>
      </c>
    </row>
    <row r="28" spans="1:11" ht="25.5" x14ac:dyDescent="0.2">
      <c r="A28" s="99" t="s">
        <v>52</v>
      </c>
      <c r="B28" s="9" t="s">
        <v>53</v>
      </c>
      <c r="C28" s="1" t="s">
        <v>11</v>
      </c>
      <c r="D28" s="1" t="s">
        <v>561</v>
      </c>
      <c r="E28" s="2" t="s">
        <v>32</v>
      </c>
      <c r="F28" s="137">
        <v>120</v>
      </c>
      <c r="G28" s="10">
        <v>12.47</v>
      </c>
      <c r="H28" s="11">
        <v>15.96</v>
      </c>
      <c r="I28" s="179"/>
      <c r="J28" s="183"/>
      <c r="K28" s="183">
        <v>0</v>
      </c>
    </row>
    <row r="29" spans="1:11" ht="38.25" x14ac:dyDescent="0.2">
      <c r="A29" s="99" t="s">
        <v>54</v>
      </c>
      <c r="B29" s="9" t="s">
        <v>55</v>
      </c>
      <c r="C29" s="1" t="s">
        <v>11</v>
      </c>
      <c r="D29" s="1" t="s">
        <v>273</v>
      </c>
      <c r="E29" s="2" t="s">
        <v>39</v>
      </c>
      <c r="F29" s="137">
        <v>20</v>
      </c>
      <c r="G29" s="10">
        <v>105.06</v>
      </c>
      <c r="H29" s="11">
        <v>134.47</v>
      </c>
      <c r="I29" s="179"/>
      <c r="J29" s="183">
        <v>1</v>
      </c>
      <c r="K29" s="183">
        <v>134.47</v>
      </c>
    </row>
    <row r="30" spans="1:11" ht="38.25" x14ac:dyDescent="0.2">
      <c r="A30" s="99" t="s">
        <v>56</v>
      </c>
      <c r="B30" s="9" t="s">
        <v>270</v>
      </c>
      <c r="C30" s="1" t="s">
        <v>57</v>
      </c>
      <c r="D30" s="1" t="s">
        <v>58</v>
      </c>
      <c r="E30" s="2" t="s">
        <v>21</v>
      </c>
      <c r="F30" s="137">
        <v>250</v>
      </c>
      <c r="G30" s="10">
        <v>74.34</v>
      </c>
      <c r="H30" s="11">
        <v>95.15</v>
      </c>
      <c r="I30" s="179"/>
      <c r="J30" s="183"/>
      <c r="K30" s="183">
        <v>0</v>
      </c>
    </row>
    <row r="31" spans="1:11" ht="38.25" x14ac:dyDescent="0.2">
      <c r="A31" s="99" t="s">
        <v>59</v>
      </c>
      <c r="B31" s="9" t="s">
        <v>271</v>
      </c>
      <c r="C31" s="1" t="s">
        <v>57</v>
      </c>
      <c r="D31" s="1" t="s">
        <v>60</v>
      </c>
      <c r="E31" s="2" t="s">
        <v>21</v>
      </c>
      <c r="F31" s="137">
        <v>250</v>
      </c>
      <c r="G31" s="10">
        <v>66</v>
      </c>
      <c r="H31" s="11">
        <v>84.48</v>
      </c>
      <c r="I31" s="179"/>
      <c r="J31" s="183"/>
      <c r="K31" s="183">
        <v>0</v>
      </c>
    </row>
    <row r="32" spans="1:11" ht="38.25" x14ac:dyDescent="0.2">
      <c r="A32" s="99" t="s">
        <v>61</v>
      </c>
      <c r="B32" s="9" t="s">
        <v>62</v>
      </c>
      <c r="C32" s="1" t="s">
        <v>11</v>
      </c>
      <c r="D32" s="1" t="s">
        <v>279</v>
      </c>
      <c r="E32" s="2" t="s">
        <v>32</v>
      </c>
      <c r="F32" s="137">
        <v>50</v>
      </c>
      <c r="G32" s="10">
        <v>6.65</v>
      </c>
      <c r="H32" s="11">
        <v>8.51</v>
      </c>
      <c r="I32" s="179"/>
      <c r="J32" s="183"/>
      <c r="K32" s="183">
        <v>0</v>
      </c>
    </row>
    <row r="33" spans="1:11" ht="76.5" x14ac:dyDescent="0.2">
      <c r="A33" s="99" t="s">
        <v>63</v>
      </c>
      <c r="B33" s="9" t="s">
        <v>64</v>
      </c>
      <c r="C33" s="1" t="s">
        <v>11</v>
      </c>
      <c r="D33" s="1" t="s">
        <v>65</v>
      </c>
      <c r="E33" s="2" t="s">
        <v>39</v>
      </c>
      <c r="F33" s="137">
        <v>10</v>
      </c>
      <c r="G33" s="10">
        <v>835.2</v>
      </c>
      <c r="H33" s="11">
        <v>1069.05</v>
      </c>
      <c r="I33" s="179"/>
      <c r="J33" s="183"/>
      <c r="K33" s="183">
        <v>0</v>
      </c>
    </row>
    <row r="34" spans="1:11" x14ac:dyDescent="0.2">
      <c r="A34" s="99" t="s">
        <v>507</v>
      </c>
      <c r="B34" s="9" t="s">
        <v>536</v>
      </c>
      <c r="C34" s="1" t="s">
        <v>57</v>
      </c>
      <c r="D34" s="1" t="s">
        <v>252</v>
      </c>
      <c r="E34" s="2" t="s">
        <v>245</v>
      </c>
      <c r="F34" s="137"/>
      <c r="G34" s="10">
        <v>36.03</v>
      </c>
      <c r="H34" s="11">
        <f>TRUNC(G34*1.28,2)</f>
        <v>46.11</v>
      </c>
      <c r="I34" s="179"/>
      <c r="J34" s="183">
        <v>10.5</v>
      </c>
      <c r="K34" s="183">
        <v>484.15</v>
      </c>
    </row>
    <row r="35" spans="1:11" ht="38.25" x14ac:dyDescent="0.2">
      <c r="A35" s="99" t="s">
        <v>508</v>
      </c>
      <c r="B35" s="9" t="s">
        <v>541</v>
      </c>
      <c r="C35" s="1" t="s">
        <v>57</v>
      </c>
      <c r="D35" s="1" t="s">
        <v>514</v>
      </c>
      <c r="E35" s="2" t="s">
        <v>245</v>
      </c>
      <c r="F35" s="137"/>
      <c r="G35" s="10">
        <v>10.61</v>
      </c>
      <c r="H35" s="11">
        <f>TRUNC(G35*1.28,2)</f>
        <v>13.58</v>
      </c>
      <c r="I35" s="179"/>
      <c r="J35" s="183">
        <v>62.33</v>
      </c>
      <c r="K35" s="183">
        <v>846.44</v>
      </c>
    </row>
    <row r="36" spans="1:11" ht="25.5" x14ac:dyDescent="0.2">
      <c r="A36" s="99" t="s">
        <v>509</v>
      </c>
      <c r="B36" s="9" t="s">
        <v>534</v>
      </c>
      <c r="C36" s="1" t="s">
        <v>57</v>
      </c>
      <c r="D36" s="1" t="s">
        <v>253</v>
      </c>
      <c r="E36" s="2" t="s">
        <v>32</v>
      </c>
      <c r="F36" s="137"/>
      <c r="G36" s="10">
        <v>8.02</v>
      </c>
      <c r="H36" s="11">
        <f>TRUNC(G36*1.28,2)</f>
        <v>10.26</v>
      </c>
      <c r="I36" s="179"/>
      <c r="J36" s="183">
        <v>0.9</v>
      </c>
      <c r="K36" s="183">
        <v>9.23</v>
      </c>
    </row>
    <row r="37" spans="1:11" ht="25.5" x14ac:dyDescent="0.2">
      <c r="A37" s="99" t="s">
        <v>510</v>
      </c>
      <c r="B37" s="9" t="s">
        <v>535</v>
      </c>
      <c r="C37" s="1" t="s">
        <v>57</v>
      </c>
      <c r="D37" s="1" t="s">
        <v>262</v>
      </c>
      <c r="E37" s="2" t="s">
        <v>243</v>
      </c>
      <c r="F37" s="137"/>
      <c r="G37" s="10">
        <v>2883.54</v>
      </c>
      <c r="H37" s="11">
        <f t="shared" ref="H37:H46" si="0">TRUNC(G37*1.28,2)</f>
        <v>3690.93</v>
      </c>
      <c r="I37" s="179"/>
      <c r="J37" s="183">
        <v>1</v>
      </c>
      <c r="K37" s="183">
        <v>3690.93</v>
      </c>
    </row>
    <row r="38" spans="1:11" ht="25.5" x14ac:dyDescent="0.2">
      <c r="A38" s="99" t="s">
        <v>592</v>
      </c>
      <c r="B38" s="9" t="s">
        <v>620</v>
      </c>
      <c r="C38" s="1" t="s">
        <v>57</v>
      </c>
      <c r="D38" s="1" t="s">
        <v>562</v>
      </c>
      <c r="E38" s="2" t="s">
        <v>243</v>
      </c>
      <c r="F38" s="137"/>
      <c r="G38" s="10">
        <v>141.44999999999999</v>
      </c>
      <c r="H38" s="11">
        <f t="shared" si="0"/>
        <v>181.05</v>
      </c>
      <c r="I38" s="179"/>
      <c r="J38" s="183">
        <v>8</v>
      </c>
      <c r="K38" s="183">
        <v>1448.4</v>
      </c>
    </row>
    <row r="39" spans="1:11" ht="38.25" x14ac:dyDescent="0.2">
      <c r="A39" s="99" t="s">
        <v>593</v>
      </c>
      <c r="B39" s="9" t="s">
        <v>621</v>
      </c>
      <c r="C39" s="1" t="s">
        <v>57</v>
      </c>
      <c r="D39" s="1" t="s">
        <v>622</v>
      </c>
      <c r="E39" s="2" t="s">
        <v>243</v>
      </c>
      <c r="F39" s="137"/>
      <c r="G39" s="10">
        <v>10550</v>
      </c>
      <c r="H39" s="11">
        <f t="shared" si="0"/>
        <v>13504</v>
      </c>
      <c r="I39" s="179"/>
      <c r="J39" s="183">
        <v>1</v>
      </c>
      <c r="K39" s="183">
        <v>13504</v>
      </c>
    </row>
    <row r="40" spans="1:11" ht="38.25" x14ac:dyDescent="0.2">
      <c r="A40" s="99" t="s">
        <v>511</v>
      </c>
      <c r="B40" s="9" t="s">
        <v>624</v>
      </c>
      <c r="C40" s="1" t="s">
        <v>57</v>
      </c>
      <c r="D40" s="1" t="s">
        <v>623</v>
      </c>
      <c r="E40" s="2" t="s">
        <v>243</v>
      </c>
      <c r="F40" s="137"/>
      <c r="G40" s="10">
        <v>3030</v>
      </c>
      <c r="H40" s="11">
        <f t="shared" si="0"/>
        <v>3878.4</v>
      </c>
      <c r="I40" s="179"/>
      <c r="J40" s="183">
        <v>1</v>
      </c>
      <c r="K40" s="183">
        <v>3878.4</v>
      </c>
    </row>
    <row r="41" spans="1:11" ht="38.25" x14ac:dyDescent="0.2">
      <c r="A41" s="99" t="s">
        <v>512</v>
      </c>
      <c r="B41" s="9" t="s">
        <v>683</v>
      </c>
      <c r="C41" s="1" t="s">
        <v>57</v>
      </c>
      <c r="D41" s="1" t="s">
        <v>668</v>
      </c>
      <c r="E41" s="2" t="s">
        <v>243</v>
      </c>
      <c r="F41" s="137"/>
      <c r="G41" s="10">
        <v>1892.99</v>
      </c>
      <c r="H41" s="11">
        <f t="shared" si="0"/>
        <v>2423.02</v>
      </c>
      <c r="I41" s="179"/>
      <c r="J41" s="183">
        <v>3</v>
      </c>
      <c r="K41" s="183">
        <v>7269.06</v>
      </c>
    </row>
    <row r="42" spans="1:11" s="74" customFormat="1" ht="38.25" x14ac:dyDescent="0.2">
      <c r="A42" s="99" t="s">
        <v>513</v>
      </c>
      <c r="B42" s="9" t="s">
        <v>563</v>
      </c>
      <c r="C42" s="1" t="s">
        <v>57</v>
      </c>
      <c r="D42" s="1" t="s">
        <v>453</v>
      </c>
      <c r="E42" s="2" t="s">
        <v>487</v>
      </c>
      <c r="F42" s="137"/>
      <c r="G42" s="10">
        <v>23.7</v>
      </c>
      <c r="H42" s="11">
        <f t="shared" si="0"/>
        <v>30.33</v>
      </c>
      <c r="I42" s="179"/>
      <c r="J42" s="183"/>
      <c r="K42" s="183">
        <v>0</v>
      </c>
    </row>
    <row r="43" spans="1:11" s="74" customFormat="1" ht="76.5" x14ac:dyDescent="0.2">
      <c r="A43" s="99" t="s">
        <v>594</v>
      </c>
      <c r="B43" s="9" t="s">
        <v>661</v>
      </c>
      <c r="C43" s="1" t="s">
        <v>57</v>
      </c>
      <c r="D43" s="1" t="s">
        <v>660</v>
      </c>
      <c r="E43" s="2" t="s">
        <v>243</v>
      </c>
      <c r="F43" s="137"/>
      <c r="G43" s="10">
        <v>235.96</v>
      </c>
      <c r="H43" s="11">
        <f>TRUNC(G43*1.28,2)</f>
        <v>302.02</v>
      </c>
      <c r="I43" s="179"/>
      <c r="J43" s="183"/>
      <c r="K43" s="183">
        <v>0</v>
      </c>
    </row>
    <row r="44" spans="1:11" s="74" customFormat="1" ht="38.25" x14ac:dyDescent="0.2">
      <c r="A44" s="99" t="s">
        <v>595</v>
      </c>
      <c r="B44" s="9" t="s">
        <v>633</v>
      </c>
      <c r="C44" s="1" t="s">
        <v>57</v>
      </c>
      <c r="D44" s="1" t="s">
        <v>634</v>
      </c>
      <c r="E44" s="2" t="s">
        <v>487</v>
      </c>
      <c r="F44" s="137"/>
      <c r="G44" s="10">
        <v>47.4</v>
      </c>
      <c r="H44" s="11">
        <f>TRUNC(G44*1.28,2)</f>
        <v>60.67</v>
      </c>
      <c r="I44" s="179"/>
      <c r="J44" s="183"/>
      <c r="K44" s="183">
        <v>0</v>
      </c>
    </row>
    <row r="45" spans="1:11" s="74" customFormat="1" ht="38.25" x14ac:dyDescent="0.2">
      <c r="A45" s="99" t="s">
        <v>596</v>
      </c>
      <c r="B45" s="9" t="s">
        <v>665</v>
      </c>
      <c r="C45" s="1" t="s">
        <v>57</v>
      </c>
      <c r="D45" s="1" t="s">
        <v>662</v>
      </c>
      <c r="E45" s="2" t="s">
        <v>487</v>
      </c>
      <c r="F45" s="137"/>
      <c r="G45" s="10">
        <v>193.07</v>
      </c>
      <c r="H45" s="11">
        <f>TRUNC(G45*1.28,2)</f>
        <v>247.12</v>
      </c>
      <c r="I45" s="179"/>
      <c r="J45" s="183"/>
      <c r="K45" s="183">
        <v>0</v>
      </c>
    </row>
    <row r="46" spans="1:11" s="74" customFormat="1" ht="38.25" x14ac:dyDescent="0.2">
      <c r="A46" s="99" t="s">
        <v>631</v>
      </c>
      <c r="B46" s="9" t="s">
        <v>664</v>
      </c>
      <c r="C46" s="1" t="s">
        <v>57</v>
      </c>
      <c r="D46" s="1" t="s">
        <v>663</v>
      </c>
      <c r="E46" s="2" t="s">
        <v>591</v>
      </c>
      <c r="F46" s="137"/>
      <c r="G46" s="10">
        <v>148.69999999999999</v>
      </c>
      <c r="H46" s="11">
        <f t="shared" si="0"/>
        <v>190.33</v>
      </c>
      <c r="I46" s="179"/>
      <c r="J46" s="183"/>
      <c r="K46" s="183">
        <v>0</v>
      </c>
    </row>
    <row r="47" spans="1:11" x14ac:dyDescent="0.2">
      <c r="A47" s="98" t="s">
        <v>66</v>
      </c>
      <c r="B47" s="12"/>
      <c r="C47" s="12"/>
      <c r="D47" s="12" t="s">
        <v>67</v>
      </c>
      <c r="E47" s="98"/>
      <c r="F47" s="138"/>
      <c r="G47" s="12"/>
      <c r="H47" s="12"/>
      <c r="I47" s="178"/>
      <c r="J47" s="169"/>
      <c r="K47" s="169">
        <v>5436.5599999999995</v>
      </c>
    </row>
    <row r="48" spans="1:11" ht="38.25" x14ac:dyDescent="0.2">
      <c r="A48" s="99" t="s">
        <v>68</v>
      </c>
      <c r="B48" s="9" t="s">
        <v>69</v>
      </c>
      <c r="C48" s="1" t="s">
        <v>11</v>
      </c>
      <c r="D48" s="1" t="s">
        <v>285</v>
      </c>
      <c r="E48" s="2" t="s">
        <v>21</v>
      </c>
      <c r="F48" s="137">
        <v>100</v>
      </c>
      <c r="G48" s="10">
        <v>1.98</v>
      </c>
      <c r="H48" s="11">
        <f t="shared" ref="H48:H54" si="1">TRUNC(G48*1.28,2)</f>
        <v>2.5299999999999998</v>
      </c>
      <c r="I48" s="179"/>
      <c r="J48" s="183">
        <v>52.22</v>
      </c>
      <c r="K48" s="183">
        <v>132.11000000000001</v>
      </c>
    </row>
    <row r="49" spans="1:11" ht="38.25" x14ac:dyDescent="0.2">
      <c r="A49" s="99" t="s">
        <v>70</v>
      </c>
      <c r="B49" s="9" t="s">
        <v>71</v>
      </c>
      <c r="C49" s="1" t="s">
        <v>11</v>
      </c>
      <c r="D49" s="1" t="s">
        <v>72</v>
      </c>
      <c r="E49" s="2" t="s">
        <v>21</v>
      </c>
      <c r="F49" s="137">
        <v>100</v>
      </c>
      <c r="G49" s="10">
        <v>6.05</v>
      </c>
      <c r="H49" s="11">
        <f t="shared" si="1"/>
        <v>7.74</v>
      </c>
      <c r="I49" s="179"/>
      <c r="J49" s="183"/>
      <c r="K49" s="183">
        <v>0</v>
      </c>
    </row>
    <row r="50" spans="1:11" ht="38.25" x14ac:dyDescent="0.2">
      <c r="A50" s="99" t="s">
        <v>73</v>
      </c>
      <c r="B50" s="9" t="s">
        <v>74</v>
      </c>
      <c r="C50" s="1" t="s">
        <v>11</v>
      </c>
      <c r="D50" s="1" t="s">
        <v>75</v>
      </c>
      <c r="E50" s="2" t="s">
        <v>21</v>
      </c>
      <c r="F50" s="137">
        <v>100</v>
      </c>
      <c r="G50" s="10">
        <v>3.55</v>
      </c>
      <c r="H50" s="11">
        <f t="shared" si="1"/>
        <v>4.54</v>
      </c>
      <c r="I50" s="179"/>
      <c r="J50" s="183"/>
      <c r="K50" s="183">
        <v>0</v>
      </c>
    </row>
    <row r="51" spans="1:11" ht="25.5" x14ac:dyDescent="0.2">
      <c r="A51" s="99" t="s">
        <v>76</v>
      </c>
      <c r="B51" s="9" t="s">
        <v>77</v>
      </c>
      <c r="C51" s="1" t="s">
        <v>11</v>
      </c>
      <c r="D51" s="1" t="s">
        <v>398</v>
      </c>
      <c r="E51" s="2" t="s">
        <v>21</v>
      </c>
      <c r="F51" s="137">
        <v>200</v>
      </c>
      <c r="G51" s="10">
        <v>67.66</v>
      </c>
      <c r="H51" s="11">
        <f t="shared" si="1"/>
        <v>86.6</v>
      </c>
      <c r="I51" s="179"/>
      <c r="J51" s="183">
        <v>54.22</v>
      </c>
      <c r="K51" s="183">
        <v>4695.45</v>
      </c>
    </row>
    <row r="52" spans="1:11" ht="25.5" x14ac:dyDescent="0.2">
      <c r="A52" s="99" t="s">
        <v>78</v>
      </c>
      <c r="B52" s="9" t="s">
        <v>79</v>
      </c>
      <c r="C52" s="1" t="s">
        <v>11</v>
      </c>
      <c r="D52" s="1" t="s">
        <v>286</v>
      </c>
      <c r="E52" s="2" t="s">
        <v>32</v>
      </c>
      <c r="F52" s="137">
        <v>100</v>
      </c>
      <c r="G52" s="10">
        <v>34.17</v>
      </c>
      <c r="H52" s="11">
        <f t="shared" si="1"/>
        <v>43.73</v>
      </c>
      <c r="I52" s="179"/>
      <c r="J52" s="183"/>
      <c r="K52" s="183">
        <v>0</v>
      </c>
    </row>
    <row r="53" spans="1:11" ht="24" customHeight="1" x14ac:dyDescent="0.2">
      <c r="A53" s="99" t="s">
        <v>80</v>
      </c>
      <c r="B53" s="9" t="s">
        <v>81</v>
      </c>
      <c r="C53" s="1" t="s">
        <v>11</v>
      </c>
      <c r="D53" s="1" t="s">
        <v>82</v>
      </c>
      <c r="E53" s="2" t="s">
        <v>21</v>
      </c>
      <c r="F53" s="137">
        <v>200</v>
      </c>
      <c r="G53" s="10">
        <v>41.82</v>
      </c>
      <c r="H53" s="11">
        <f t="shared" si="1"/>
        <v>53.52</v>
      </c>
      <c r="I53" s="179"/>
      <c r="J53" s="183"/>
      <c r="K53" s="183">
        <v>0</v>
      </c>
    </row>
    <row r="54" spans="1:11" ht="25.5" x14ac:dyDescent="0.2">
      <c r="A54" s="99" t="s">
        <v>83</v>
      </c>
      <c r="B54" s="9" t="s">
        <v>84</v>
      </c>
      <c r="C54" s="1" t="s">
        <v>11</v>
      </c>
      <c r="D54" s="1" t="s">
        <v>85</v>
      </c>
      <c r="E54" s="2" t="s">
        <v>32</v>
      </c>
      <c r="F54" s="137">
        <v>400</v>
      </c>
      <c r="G54" s="10">
        <v>3.2</v>
      </c>
      <c r="H54" s="11">
        <f t="shared" si="1"/>
        <v>4.09</v>
      </c>
      <c r="I54" s="179"/>
      <c r="J54" s="183"/>
      <c r="K54" s="183">
        <v>0</v>
      </c>
    </row>
    <row r="55" spans="1:11" ht="25.5" x14ac:dyDescent="0.2">
      <c r="A55" s="99" t="s">
        <v>522</v>
      </c>
      <c r="B55" s="9" t="s">
        <v>523</v>
      </c>
      <c r="C55" s="1" t="s">
        <v>57</v>
      </c>
      <c r="D55" s="1" t="s">
        <v>521</v>
      </c>
      <c r="E55" s="2" t="s">
        <v>243</v>
      </c>
      <c r="F55" s="137"/>
      <c r="G55" s="10">
        <v>158.6</v>
      </c>
      <c r="H55" s="11">
        <f>TRUNC(G55*1.28,2)</f>
        <v>203</v>
      </c>
      <c r="I55" s="179"/>
      <c r="J55" s="183">
        <v>3</v>
      </c>
      <c r="K55" s="183">
        <v>609</v>
      </c>
    </row>
    <row r="56" spans="1:11" ht="38.25" x14ac:dyDescent="0.2">
      <c r="A56" s="99" t="s">
        <v>600</v>
      </c>
      <c r="B56" s="9" t="s">
        <v>636</v>
      </c>
      <c r="C56" s="1" t="s">
        <v>57</v>
      </c>
      <c r="D56" s="1" t="s">
        <v>635</v>
      </c>
      <c r="E56" s="2" t="s">
        <v>487</v>
      </c>
      <c r="F56" s="137"/>
      <c r="G56" s="10">
        <v>15.48</v>
      </c>
      <c r="H56" s="11">
        <f>TRUNC(G56*1.28,2)</f>
        <v>19.809999999999999</v>
      </c>
      <c r="I56" s="179"/>
      <c r="J56" s="183"/>
      <c r="K56" s="183">
        <v>0</v>
      </c>
    </row>
    <row r="57" spans="1:11" x14ac:dyDescent="0.2">
      <c r="A57" s="98" t="s">
        <v>86</v>
      </c>
      <c r="B57" s="12"/>
      <c r="C57" s="12"/>
      <c r="D57" s="12" t="s">
        <v>87</v>
      </c>
      <c r="E57" s="98"/>
      <c r="F57" s="138"/>
      <c r="G57" s="12"/>
      <c r="H57" s="12"/>
      <c r="I57" s="178"/>
      <c r="J57" s="169"/>
      <c r="K57" s="169">
        <v>22630.45</v>
      </c>
    </row>
    <row r="58" spans="1:11" ht="38.25" x14ac:dyDescent="0.2">
      <c r="A58" s="99" t="s">
        <v>88</v>
      </c>
      <c r="B58" s="9" t="s">
        <v>89</v>
      </c>
      <c r="C58" s="1" t="s">
        <v>11</v>
      </c>
      <c r="D58" s="1" t="s">
        <v>254</v>
      </c>
      <c r="E58" s="2" t="s">
        <v>21</v>
      </c>
      <c r="F58" s="137">
        <v>250</v>
      </c>
      <c r="G58" s="10">
        <v>87.78</v>
      </c>
      <c r="H58" s="11">
        <v>112.35</v>
      </c>
      <c r="I58" s="179"/>
      <c r="J58" s="183"/>
      <c r="K58" s="183">
        <v>0</v>
      </c>
    </row>
    <row r="59" spans="1:11" ht="38.25" x14ac:dyDescent="0.2">
      <c r="A59" s="99" t="s">
        <v>90</v>
      </c>
      <c r="B59" s="9" t="s">
        <v>91</v>
      </c>
      <c r="C59" s="1" t="s">
        <v>11</v>
      </c>
      <c r="D59" s="1" t="s">
        <v>255</v>
      </c>
      <c r="E59" s="2" t="s">
        <v>39</v>
      </c>
      <c r="F59" s="137">
        <v>20</v>
      </c>
      <c r="G59" s="10">
        <v>8.07</v>
      </c>
      <c r="H59" s="11">
        <v>10.32</v>
      </c>
      <c r="I59" s="179"/>
      <c r="J59" s="183"/>
      <c r="K59" s="183">
        <v>0</v>
      </c>
    </row>
    <row r="60" spans="1:11" ht="38.25" x14ac:dyDescent="0.2">
      <c r="A60" s="99" t="s">
        <v>92</v>
      </c>
      <c r="B60" s="9" t="s">
        <v>93</v>
      </c>
      <c r="C60" s="1" t="s">
        <v>11</v>
      </c>
      <c r="D60" s="1" t="s">
        <v>256</v>
      </c>
      <c r="E60" s="2" t="s">
        <v>21</v>
      </c>
      <c r="F60" s="137">
        <v>250</v>
      </c>
      <c r="G60" s="10">
        <v>53.86</v>
      </c>
      <c r="H60" s="11">
        <v>68.94</v>
      </c>
      <c r="I60" s="179"/>
      <c r="J60" s="183"/>
      <c r="K60" s="183">
        <v>0</v>
      </c>
    </row>
    <row r="61" spans="1:11" ht="25.5" x14ac:dyDescent="0.2">
      <c r="A61" s="99" t="s">
        <v>94</v>
      </c>
      <c r="B61" s="9" t="s">
        <v>95</v>
      </c>
      <c r="C61" s="1" t="s">
        <v>11</v>
      </c>
      <c r="D61" s="1" t="s">
        <v>96</v>
      </c>
      <c r="E61" s="2" t="s">
        <v>21</v>
      </c>
      <c r="F61" s="137">
        <v>20</v>
      </c>
      <c r="G61" s="10">
        <v>404.64</v>
      </c>
      <c r="H61" s="11">
        <v>517.92999999999995</v>
      </c>
      <c r="I61" s="179"/>
      <c r="J61" s="183"/>
      <c r="K61" s="183">
        <v>0</v>
      </c>
    </row>
    <row r="62" spans="1:11" ht="25.5" x14ac:dyDescent="0.2">
      <c r="A62" s="99" t="s">
        <v>97</v>
      </c>
      <c r="B62" s="9" t="s">
        <v>98</v>
      </c>
      <c r="C62" s="1" t="s">
        <v>11</v>
      </c>
      <c r="D62" s="1" t="s">
        <v>257</v>
      </c>
      <c r="E62" s="2" t="s">
        <v>21</v>
      </c>
      <c r="F62" s="137">
        <v>500</v>
      </c>
      <c r="G62" s="10">
        <v>87.61</v>
      </c>
      <c r="H62" s="11">
        <v>112.14</v>
      </c>
      <c r="I62" s="179"/>
      <c r="J62" s="183">
        <v>111.89</v>
      </c>
      <c r="K62" s="183">
        <v>12547.34</v>
      </c>
    </row>
    <row r="63" spans="1:11" ht="63.75" x14ac:dyDescent="0.2">
      <c r="A63" s="99" t="s">
        <v>99</v>
      </c>
      <c r="B63" s="9" t="s">
        <v>100</v>
      </c>
      <c r="C63" s="1" t="s">
        <v>11</v>
      </c>
      <c r="D63" s="1" t="s">
        <v>101</v>
      </c>
      <c r="E63" s="2" t="s">
        <v>21</v>
      </c>
      <c r="F63" s="137">
        <v>50</v>
      </c>
      <c r="G63" s="10">
        <v>49.82</v>
      </c>
      <c r="H63" s="11">
        <v>63.76</v>
      </c>
      <c r="I63" s="179"/>
      <c r="J63" s="183"/>
      <c r="K63" s="183">
        <v>0</v>
      </c>
    </row>
    <row r="64" spans="1:11" ht="38.25" x14ac:dyDescent="0.2">
      <c r="A64" s="99" t="s">
        <v>102</v>
      </c>
      <c r="B64" s="9" t="s">
        <v>103</v>
      </c>
      <c r="C64" s="1" t="s">
        <v>11</v>
      </c>
      <c r="D64" s="1" t="s">
        <v>104</v>
      </c>
      <c r="E64" s="2" t="s">
        <v>21</v>
      </c>
      <c r="F64" s="137">
        <v>50</v>
      </c>
      <c r="G64" s="10">
        <v>151.06</v>
      </c>
      <c r="H64" s="11">
        <v>193.35</v>
      </c>
      <c r="I64" s="179"/>
      <c r="J64" s="183"/>
      <c r="K64" s="183">
        <v>0</v>
      </c>
    </row>
    <row r="65" spans="1:11" x14ac:dyDescent="0.2">
      <c r="A65" s="99" t="s">
        <v>105</v>
      </c>
      <c r="B65" s="9" t="s">
        <v>106</v>
      </c>
      <c r="C65" s="1" t="s">
        <v>11</v>
      </c>
      <c r="D65" s="1" t="s">
        <v>107</v>
      </c>
      <c r="E65" s="2" t="s">
        <v>32</v>
      </c>
      <c r="F65" s="137">
        <v>350</v>
      </c>
      <c r="G65" s="10">
        <v>56.75</v>
      </c>
      <c r="H65" s="11">
        <v>72.64</v>
      </c>
      <c r="I65" s="179"/>
      <c r="J65" s="183"/>
      <c r="K65" s="183">
        <v>0</v>
      </c>
    </row>
    <row r="66" spans="1:11" x14ac:dyDescent="0.2">
      <c r="A66" s="99" t="s">
        <v>108</v>
      </c>
      <c r="B66" s="9" t="s">
        <v>109</v>
      </c>
      <c r="C66" s="1" t="s">
        <v>11</v>
      </c>
      <c r="D66" s="1" t="s">
        <v>110</v>
      </c>
      <c r="E66" s="2" t="s">
        <v>32</v>
      </c>
      <c r="F66" s="137">
        <v>20</v>
      </c>
      <c r="G66" s="10">
        <v>74.8</v>
      </c>
      <c r="H66" s="11">
        <v>95.74</v>
      </c>
      <c r="I66" s="179"/>
      <c r="J66" s="183"/>
      <c r="K66" s="183">
        <v>0</v>
      </c>
    </row>
    <row r="67" spans="1:11" ht="38.25" x14ac:dyDescent="0.2">
      <c r="A67" s="99" t="s">
        <v>111</v>
      </c>
      <c r="B67" s="9" t="s">
        <v>112</v>
      </c>
      <c r="C67" s="1" t="s">
        <v>11</v>
      </c>
      <c r="D67" s="1" t="s">
        <v>287</v>
      </c>
      <c r="E67" s="2" t="s">
        <v>32</v>
      </c>
      <c r="F67" s="137">
        <v>30</v>
      </c>
      <c r="G67" s="10">
        <v>10.130000000000001</v>
      </c>
      <c r="H67" s="11">
        <v>12.96</v>
      </c>
      <c r="I67" s="179"/>
      <c r="J67" s="183"/>
      <c r="K67" s="183">
        <v>0</v>
      </c>
    </row>
    <row r="68" spans="1:11" ht="51" x14ac:dyDescent="0.2">
      <c r="A68" s="99" t="s">
        <v>113</v>
      </c>
      <c r="B68" s="9" t="s">
        <v>114</v>
      </c>
      <c r="C68" s="1" t="s">
        <v>11</v>
      </c>
      <c r="D68" s="1" t="s">
        <v>443</v>
      </c>
      <c r="E68" s="2" t="s">
        <v>21</v>
      </c>
      <c r="F68" s="137">
        <v>50</v>
      </c>
      <c r="G68" s="10">
        <v>72.53</v>
      </c>
      <c r="H68" s="11">
        <v>92.83</v>
      </c>
      <c r="I68" s="179"/>
      <c r="J68" s="183"/>
      <c r="K68" s="183">
        <v>0</v>
      </c>
    </row>
    <row r="69" spans="1:11" ht="25.5" x14ac:dyDescent="0.2">
      <c r="A69" s="99" t="s">
        <v>115</v>
      </c>
      <c r="B69" s="9" t="s">
        <v>116</v>
      </c>
      <c r="C69" s="1" t="s">
        <v>11</v>
      </c>
      <c r="D69" s="1" t="s">
        <v>117</v>
      </c>
      <c r="E69" s="2" t="s">
        <v>32</v>
      </c>
      <c r="F69" s="137">
        <v>10</v>
      </c>
      <c r="G69" s="10">
        <v>108.59</v>
      </c>
      <c r="H69" s="11">
        <v>138.99</v>
      </c>
      <c r="I69" s="179"/>
      <c r="J69" s="183">
        <v>0.9</v>
      </c>
      <c r="K69" s="183">
        <v>125.09</v>
      </c>
    </row>
    <row r="70" spans="1:11" ht="38.25" x14ac:dyDescent="0.2">
      <c r="A70" s="99" t="s">
        <v>399</v>
      </c>
      <c r="B70" s="9">
        <v>99804</v>
      </c>
      <c r="C70" s="1" t="s">
        <v>11</v>
      </c>
      <c r="D70" s="1" t="s">
        <v>486</v>
      </c>
      <c r="E70" s="2" t="s">
        <v>245</v>
      </c>
      <c r="F70" s="137"/>
      <c r="G70" s="10">
        <v>6.59</v>
      </c>
      <c r="H70" s="11">
        <f>TRUNC(G70*1.28,2)</f>
        <v>8.43</v>
      </c>
      <c r="I70" s="179"/>
      <c r="J70" s="183">
        <v>111.89</v>
      </c>
      <c r="K70" s="183">
        <v>943.23</v>
      </c>
    </row>
    <row r="71" spans="1:11" ht="25.5" x14ac:dyDescent="0.2">
      <c r="A71" s="99" t="s">
        <v>400</v>
      </c>
      <c r="B71" s="9" t="s">
        <v>517</v>
      </c>
      <c r="C71" s="1" t="s">
        <v>57</v>
      </c>
      <c r="D71" s="1" t="s">
        <v>258</v>
      </c>
      <c r="E71" s="2" t="s">
        <v>245</v>
      </c>
      <c r="F71" s="137"/>
      <c r="G71" s="10">
        <v>38.049999999999997</v>
      </c>
      <c r="H71" s="11">
        <f>TRUNC(G71*1.28,2)</f>
        <v>48.7</v>
      </c>
      <c r="I71" s="179"/>
      <c r="J71" s="183">
        <v>111.89</v>
      </c>
      <c r="K71" s="183">
        <v>5449.04</v>
      </c>
    </row>
    <row r="72" spans="1:11" ht="38.25" x14ac:dyDescent="0.2">
      <c r="A72" s="99" t="s">
        <v>449</v>
      </c>
      <c r="B72" s="9" t="s">
        <v>542</v>
      </c>
      <c r="C72" s="1" t="s">
        <v>57</v>
      </c>
      <c r="D72" s="1" t="s">
        <v>259</v>
      </c>
      <c r="E72" s="2" t="s">
        <v>32</v>
      </c>
      <c r="F72" s="137"/>
      <c r="G72" s="10">
        <v>50.15</v>
      </c>
      <c r="H72" s="11">
        <f>TRUNC(G72*1.28,2)</f>
        <v>64.19</v>
      </c>
      <c r="I72" s="179"/>
      <c r="J72" s="183">
        <v>55.55</v>
      </c>
      <c r="K72" s="183">
        <v>3565.75</v>
      </c>
    </row>
    <row r="73" spans="1:11" s="4" customFormat="1" x14ac:dyDescent="0.2">
      <c r="A73" s="98" t="s">
        <v>118</v>
      </c>
      <c r="B73" s="12"/>
      <c r="C73" s="12"/>
      <c r="D73" s="12" t="s">
        <v>119</v>
      </c>
      <c r="E73" s="98"/>
      <c r="F73" s="138"/>
      <c r="G73" s="12"/>
      <c r="H73" s="12"/>
      <c r="I73" s="178"/>
      <c r="J73" s="169"/>
      <c r="K73" s="169">
        <v>0</v>
      </c>
    </row>
    <row r="74" spans="1:11" s="4" customFormat="1" ht="38.25" x14ac:dyDescent="0.2">
      <c r="A74" s="99" t="s">
        <v>120</v>
      </c>
      <c r="B74" s="9" t="s">
        <v>121</v>
      </c>
      <c r="C74" s="1" t="s">
        <v>11</v>
      </c>
      <c r="D74" s="1" t="s">
        <v>714</v>
      </c>
      <c r="E74" s="2" t="s">
        <v>39</v>
      </c>
      <c r="F74" s="137">
        <v>10</v>
      </c>
      <c r="G74" s="10">
        <v>58.74</v>
      </c>
      <c r="H74" s="11">
        <v>75.180000000000007</v>
      </c>
      <c r="I74" s="179"/>
      <c r="J74" s="183"/>
      <c r="K74" s="183">
        <v>0</v>
      </c>
    </row>
    <row r="75" spans="1:11" s="4" customFormat="1" ht="51" x14ac:dyDescent="0.2">
      <c r="A75" s="99" t="s">
        <v>122</v>
      </c>
      <c r="B75" s="9" t="s">
        <v>123</v>
      </c>
      <c r="C75" s="1" t="s">
        <v>11</v>
      </c>
      <c r="D75" s="1" t="s">
        <v>124</v>
      </c>
      <c r="E75" s="2" t="s">
        <v>39</v>
      </c>
      <c r="F75" s="137">
        <v>10</v>
      </c>
      <c r="G75" s="10">
        <v>62.58</v>
      </c>
      <c r="H75" s="11">
        <v>80.099999999999994</v>
      </c>
      <c r="I75" s="179"/>
      <c r="J75" s="183"/>
      <c r="K75" s="183">
        <v>0</v>
      </c>
    </row>
    <row r="76" spans="1:11" s="4" customFormat="1" ht="38.25" x14ac:dyDescent="0.2">
      <c r="A76" s="99" t="s">
        <v>125</v>
      </c>
      <c r="B76" s="9" t="s">
        <v>126</v>
      </c>
      <c r="C76" s="1" t="s">
        <v>11</v>
      </c>
      <c r="D76" s="1" t="s">
        <v>127</v>
      </c>
      <c r="E76" s="2" t="s">
        <v>39</v>
      </c>
      <c r="F76" s="137">
        <v>20</v>
      </c>
      <c r="G76" s="10">
        <v>10.79</v>
      </c>
      <c r="H76" s="11">
        <v>13.81</v>
      </c>
      <c r="I76" s="179"/>
      <c r="J76" s="183"/>
      <c r="K76" s="183">
        <v>0</v>
      </c>
    </row>
    <row r="77" spans="1:11" s="4" customFormat="1" ht="38.25" x14ac:dyDescent="0.2">
      <c r="A77" s="99" t="s">
        <v>128</v>
      </c>
      <c r="B77" s="9" t="s">
        <v>129</v>
      </c>
      <c r="C77" s="1" t="s">
        <v>11</v>
      </c>
      <c r="D77" s="1" t="s">
        <v>130</v>
      </c>
      <c r="E77" s="2" t="s">
        <v>39</v>
      </c>
      <c r="F77" s="137">
        <v>20</v>
      </c>
      <c r="G77" s="10">
        <v>11.42</v>
      </c>
      <c r="H77" s="11">
        <v>14.61</v>
      </c>
      <c r="I77" s="179"/>
      <c r="J77" s="183"/>
      <c r="K77" s="183">
        <v>0</v>
      </c>
    </row>
    <row r="78" spans="1:11" s="4" customFormat="1" ht="25.5" x14ac:dyDescent="0.2">
      <c r="A78" s="99" t="s">
        <v>131</v>
      </c>
      <c r="B78" s="9" t="s">
        <v>132</v>
      </c>
      <c r="C78" s="1" t="s">
        <v>11</v>
      </c>
      <c r="D78" s="1" t="s">
        <v>260</v>
      </c>
      <c r="E78" s="2" t="s">
        <v>39</v>
      </c>
      <c r="F78" s="137">
        <v>20</v>
      </c>
      <c r="G78" s="10">
        <v>19.809999999999999</v>
      </c>
      <c r="H78" s="11">
        <v>25.35</v>
      </c>
      <c r="I78" s="179"/>
      <c r="J78" s="183"/>
      <c r="K78" s="183">
        <v>0</v>
      </c>
    </row>
    <row r="79" spans="1:11" s="4" customFormat="1" ht="25.5" x14ac:dyDescent="0.2">
      <c r="A79" s="99" t="s">
        <v>133</v>
      </c>
      <c r="B79" s="9" t="s">
        <v>134</v>
      </c>
      <c r="C79" s="1" t="s">
        <v>11</v>
      </c>
      <c r="D79" s="1" t="s">
        <v>288</v>
      </c>
      <c r="E79" s="2" t="s">
        <v>39</v>
      </c>
      <c r="F79" s="137">
        <v>20</v>
      </c>
      <c r="G79" s="10">
        <v>9.83</v>
      </c>
      <c r="H79" s="11">
        <v>12.58</v>
      </c>
      <c r="I79" s="179"/>
      <c r="J79" s="183"/>
      <c r="K79" s="183">
        <v>0</v>
      </c>
    </row>
    <row r="80" spans="1:11" s="4" customFormat="1" ht="25.5" x14ac:dyDescent="0.2">
      <c r="A80" s="99" t="s">
        <v>135</v>
      </c>
      <c r="B80" s="9" t="s">
        <v>136</v>
      </c>
      <c r="C80" s="1" t="s">
        <v>11</v>
      </c>
      <c r="D80" s="1" t="s">
        <v>289</v>
      </c>
      <c r="E80" s="2" t="s">
        <v>39</v>
      </c>
      <c r="F80" s="137">
        <v>20</v>
      </c>
      <c r="G80" s="10">
        <v>13.6</v>
      </c>
      <c r="H80" s="11">
        <v>17.399999999999999</v>
      </c>
      <c r="I80" s="179"/>
      <c r="J80" s="183"/>
      <c r="K80" s="183">
        <v>0</v>
      </c>
    </row>
    <row r="81" spans="1:11" s="4" customFormat="1" ht="38.25" x14ac:dyDescent="0.2">
      <c r="A81" s="99" t="s">
        <v>137</v>
      </c>
      <c r="B81" s="9" t="s">
        <v>138</v>
      </c>
      <c r="C81" s="1" t="s">
        <v>11</v>
      </c>
      <c r="D81" s="1" t="s">
        <v>139</v>
      </c>
      <c r="E81" s="2" t="s">
        <v>39</v>
      </c>
      <c r="F81" s="137">
        <v>15</v>
      </c>
      <c r="G81" s="10">
        <v>449.22</v>
      </c>
      <c r="H81" s="11">
        <v>575</v>
      </c>
      <c r="I81" s="179"/>
      <c r="J81" s="183"/>
      <c r="K81" s="183">
        <v>0</v>
      </c>
    </row>
    <row r="82" spans="1:11" s="4" customFormat="1" ht="38.25" x14ac:dyDescent="0.2">
      <c r="A82" s="99" t="s">
        <v>140</v>
      </c>
      <c r="B82" s="9" t="s">
        <v>141</v>
      </c>
      <c r="C82" s="1" t="s">
        <v>11</v>
      </c>
      <c r="D82" s="1" t="s">
        <v>142</v>
      </c>
      <c r="E82" s="2" t="s">
        <v>39</v>
      </c>
      <c r="F82" s="137">
        <v>20</v>
      </c>
      <c r="G82" s="10">
        <v>118.33</v>
      </c>
      <c r="H82" s="11">
        <v>151.46</v>
      </c>
      <c r="I82" s="179"/>
      <c r="J82" s="183"/>
      <c r="K82" s="183">
        <v>0</v>
      </c>
    </row>
    <row r="83" spans="1:11" s="4" customFormat="1" ht="38.25" x14ac:dyDescent="0.2">
      <c r="A83" s="99" t="s">
        <v>143</v>
      </c>
      <c r="B83" s="9" t="s">
        <v>144</v>
      </c>
      <c r="C83" s="1" t="s">
        <v>11</v>
      </c>
      <c r="D83" s="1" t="s">
        <v>261</v>
      </c>
      <c r="E83" s="2" t="s">
        <v>39</v>
      </c>
      <c r="F83" s="137">
        <v>20</v>
      </c>
      <c r="G83" s="10">
        <v>119.08</v>
      </c>
      <c r="H83" s="11">
        <v>152.41999999999999</v>
      </c>
      <c r="I83" s="179"/>
      <c r="J83" s="183"/>
      <c r="K83" s="183">
        <v>0</v>
      </c>
    </row>
    <row r="84" spans="1:11" s="4" customFormat="1" ht="38.25" x14ac:dyDescent="0.2">
      <c r="A84" s="99" t="s">
        <v>145</v>
      </c>
      <c r="B84" s="9" t="s">
        <v>146</v>
      </c>
      <c r="C84" s="1" t="s">
        <v>11</v>
      </c>
      <c r="D84" s="1" t="s">
        <v>147</v>
      </c>
      <c r="E84" s="2" t="s">
        <v>39</v>
      </c>
      <c r="F84" s="137">
        <v>10</v>
      </c>
      <c r="G84" s="10">
        <v>280.87</v>
      </c>
      <c r="H84" s="11">
        <v>359.51</v>
      </c>
      <c r="I84" s="179"/>
      <c r="J84" s="183"/>
      <c r="K84" s="183">
        <v>0</v>
      </c>
    </row>
    <row r="85" spans="1:11" s="4" customFormat="1" ht="25.5" x14ac:dyDescent="0.2">
      <c r="A85" s="99" t="s">
        <v>148</v>
      </c>
      <c r="B85" s="9" t="s">
        <v>149</v>
      </c>
      <c r="C85" s="1" t="s">
        <v>11</v>
      </c>
      <c r="D85" s="1" t="s">
        <v>290</v>
      </c>
      <c r="E85" s="2" t="s">
        <v>39</v>
      </c>
      <c r="F85" s="137">
        <v>10</v>
      </c>
      <c r="G85" s="10">
        <v>130.22</v>
      </c>
      <c r="H85" s="11">
        <v>166.68</v>
      </c>
      <c r="I85" s="179"/>
      <c r="J85" s="183"/>
      <c r="K85" s="183">
        <v>0</v>
      </c>
    </row>
    <row r="86" spans="1:11" s="4" customFormat="1" ht="25.5" x14ac:dyDescent="0.2">
      <c r="A86" s="99" t="s">
        <v>150</v>
      </c>
      <c r="B86" s="9" t="s">
        <v>151</v>
      </c>
      <c r="C86" s="1" t="s">
        <v>11</v>
      </c>
      <c r="D86" s="1" t="s">
        <v>291</v>
      </c>
      <c r="E86" s="2" t="s">
        <v>39</v>
      </c>
      <c r="F86" s="137">
        <v>15</v>
      </c>
      <c r="G86" s="10">
        <v>39.76</v>
      </c>
      <c r="H86" s="11">
        <v>50.89</v>
      </c>
      <c r="I86" s="179"/>
      <c r="J86" s="183"/>
      <c r="K86" s="183">
        <v>0</v>
      </c>
    </row>
    <row r="87" spans="1:11" s="4" customFormat="1" x14ac:dyDescent="0.2">
      <c r="A87" s="98" t="s">
        <v>152</v>
      </c>
      <c r="B87" s="12"/>
      <c r="C87" s="12"/>
      <c r="D87" s="12" t="s">
        <v>153</v>
      </c>
      <c r="E87" s="98"/>
      <c r="F87" s="138"/>
      <c r="G87" s="12"/>
      <c r="H87" s="12"/>
      <c r="I87" s="178"/>
      <c r="J87" s="169"/>
      <c r="K87" s="169">
        <v>27650.170000000006</v>
      </c>
    </row>
    <row r="88" spans="1:11" s="4" customFormat="1" ht="38.25" x14ac:dyDescent="0.2">
      <c r="A88" s="99" t="s">
        <v>154</v>
      </c>
      <c r="B88" s="9" t="s">
        <v>155</v>
      </c>
      <c r="C88" s="1" t="s">
        <v>11</v>
      </c>
      <c r="D88" s="1" t="s">
        <v>280</v>
      </c>
      <c r="E88" s="2" t="s">
        <v>32</v>
      </c>
      <c r="F88" s="137">
        <v>100</v>
      </c>
      <c r="G88" s="10">
        <v>7.25</v>
      </c>
      <c r="H88" s="11">
        <v>9.2799999999999994</v>
      </c>
      <c r="I88" s="179"/>
      <c r="J88" s="183">
        <v>360</v>
      </c>
      <c r="K88" s="183">
        <v>3340.8</v>
      </c>
    </row>
    <row r="89" spans="1:11" s="4" customFormat="1" ht="38.25" x14ac:dyDescent="0.2">
      <c r="A89" s="99" t="s">
        <v>156</v>
      </c>
      <c r="B89" s="9" t="s">
        <v>157</v>
      </c>
      <c r="C89" s="1" t="s">
        <v>11</v>
      </c>
      <c r="D89" s="1" t="s">
        <v>158</v>
      </c>
      <c r="E89" s="2" t="s">
        <v>32</v>
      </c>
      <c r="F89" s="137">
        <v>100</v>
      </c>
      <c r="G89" s="10">
        <v>9.59</v>
      </c>
      <c r="H89" s="11">
        <v>12.27</v>
      </c>
      <c r="I89" s="179"/>
      <c r="J89" s="183"/>
      <c r="K89" s="183">
        <v>0</v>
      </c>
    </row>
    <row r="90" spans="1:11" s="4" customFormat="1" ht="38.25" x14ac:dyDescent="0.2">
      <c r="A90" s="99" t="s">
        <v>159</v>
      </c>
      <c r="B90" s="9" t="s">
        <v>160</v>
      </c>
      <c r="C90" s="1" t="s">
        <v>11</v>
      </c>
      <c r="D90" s="1" t="s">
        <v>277</v>
      </c>
      <c r="E90" s="2" t="s">
        <v>32</v>
      </c>
      <c r="F90" s="137">
        <v>500</v>
      </c>
      <c r="G90" s="10">
        <v>4.6100000000000003</v>
      </c>
      <c r="H90" s="11">
        <v>5.9</v>
      </c>
      <c r="I90" s="179"/>
      <c r="J90" s="183">
        <v>260</v>
      </c>
      <c r="K90" s="183">
        <v>1534</v>
      </c>
    </row>
    <row r="91" spans="1:11" s="4" customFormat="1" ht="38.25" x14ac:dyDescent="0.2">
      <c r="A91" s="99" t="s">
        <v>161</v>
      </c>
      <c r="B91" s="9" t="s">
        <v>162</v>
      </c>
      <c r="C91" s="1" t="s">
        <v>11</v>
      </c>
      <c r="D91" s="1" t="s">
        <v>163</v>
      </c>
      <c r="E91" s="2" t="s">
        <v>32</v>
      </c>
      <c r="F91" s="137">
        <v>100</v>
      </c>
      <c r="G91" s="10">
        <v>14.7</v>
      </c>
      <c r="H91" s="11">
        <v>18.809999999999999</v>
      </c>
      <c r="I91" s="179"/>
      <c r="J91" s="183"/>
      <c r="K91" s="183">
        <v>0</v>
      </c>
    </row>
    <row r="92" spans="1:11" s="4" customFormat="1" ht="38.25" x14ac:dyDescent="0.2">
      <c r="A92" s="99" t="s">
        <v>164</v>
      </c>
      <c r="B92" s="9" t="s">
        <v>165</v>
      </c>
      <c r="C92" s="1" t="s">
        <v>11</v>
      </c>
      <c r="D92" s="1" t="s">
        <v>166</v>
      </c>
      <c r="E92" s="2" t="s">
        <v>32</v>
      </c>
      <c r="F92" s="137">
        <v>100</v>
      </c>
      <c r="G92" s="10">
        <v>26.47</v>
      </c>
      <c r="H92" s="11">
        <v>33.880000000000003</v>
      </c>
      <c r="I92" s="179"/>
      <c r="J92" s="183"/>
      <c r="K92" s="183">
        <v>0</v>
      </c>
    </row>
    <row r="93" spans="1:11" s="4" customFormat="1" ht="25.5" x14ac:dyDescent="0.2">
      <c r="A93" s="99" t="s">
        <v>167</v>
      </c>
      <c r="B93" s="9" t="s">
        <v>38</v>
      </c>
      <c r="C93" s="1" t="s">
        <v>11</v>
      </c>
      <c r="D93" s="1" t="s">
        <v>396</v>
      </c>
      <c r="E93" s="2" t="s">
        <v>39</v>
      </c>
      <c r="F93" s="137">
        <v>100</v>
      </c>
      <c r="G93" s="10">
        <v>0.88</v>
      </c>
      <c r="H93" s="11">
        <v>1.1200000000000001</v>
      </c>
      <c r="I93" s="179"/>
      <c r="J93" s="183"/>
      <c r="K93" s="183">
        <v>0</v>
      </c>
    </row>
    <row r="94" spans="1:11" s="4" customFormat="1" ht="38.25" x14ac:dyDescent="0.2">
      <c r="A94" s="99" t="s">
        <v>168</v>
      </c>
      <c r="B94" s="9" t="s">
        <v>169</v>
      </c>
      <c r="C94" s="1" t="s">
        <v>11</v>
      </c>
      <c r="D94" s="1" t="s">
        <v>445</v>
      </c>
      <c r="E94" s="2" t="s">
        <v>32</v>
      </c>
      <c r="F94" s="137">
        <v>200</v>
      </c>
      <c r="G94" s="10">
        <v>10.199999999999999</v>
      </c>
      <c r="H94" s="11">
        <v>13.05</v>
      </c>
      <c r="I94" s="179"/>
      <c r="J94" s="183"/>
      <c r="K94" s="183">
        <v>0</v>
      </c>
    </row>
    <row r="95" spans="1:11" s="4" customFormat="1" ht="38.25" x14ac:dyDescent="0.2">
      <c r="A95" s="99" t="s">
        <v>170</v>
      </c>
      <c r="B95" s="9" t="s">
        <v>171</v>
      </c>
      <c r="C95" s="1" t="s">
        <v>11</v>
      </c>
      <c r="D95" s="1" t="s">
        <v>446</v>
      </c>
      <c r="E95" s="2" t="s">
        <v>32</v>
      </c>
      <c r="F95" s="137">
        <v>100</v>
      </c>
      <c r="G95" s="10">
        <v>12.28</v>
      </c>
      <c r="H95" s="11">
        <v>15.71</v>
      </c>
      <c r="I95" s="179"/>
      <c r="J95" s="183"/>
      <c r="K95" s="183">
        <v>0</v>
      </c>
    </row>
    <row r="96" spans="1:11" s="4" customFormat="1" ht="38.25" x14ac:dyDescent="0.2">
      <c r="A96" s="99" t="s">
        <v>172</v>
      </c>
      <c r="B96" s="9" t="s">
        <v>173</v>
      </c>
      <c r="C96" s="1" t="s">
        <v>11</v>
      </c>
      <c r="D96" s="1" t="s">
        <v>444</v>
      </c>
      <c r="E96" s="2" t="s">
        <v>32</v>
      </c>
      <c r="F96" s="137">
        <v>100</v>
      </c>
      <c r="G96" s="10">
        <v>11.99</v>
      </c>
      <c r="H96" s="11">
        <v>15.34</v>
      </c>
      <c r="I96" s="179"/>
      <c r="J96" s="183"/>
      <c r="K96" s="183">
        <v>0</v>
      </c>
    </row>
    <row r="97" spans="1:11" s="4" customFormat="1" ht="38.25" x14ac:dyDescent="0.2">
      <c r="A97" s="99" t="s">
        <v>174</v>
      </c>
      <c r="B97" s="9" t="s">
        <v>175</v>
      </c>
      <c r="C97" s="1" t="s">
        <v>11</v>
      </c>
      <c r="D97" s="1" t="s">
        <v>401</v>
      </c>
      <c r="E97" s="2" t="s">
        <v>32</v>
      </c>
      <c r="F97" s="137">
        <v>100</v>
      </c>
      <c r="G97" s="10">
        <v>13.98</v>
      </c>
      <c r="H97" s="11">
        <v>17.89</v>
      </c>
      <c r="I97" s="179"/>
      <c r="J97" s="183">
        <v>213</v>
      </c>
      <c r="K97" s="183">
        <v>3810.57</v>
      </c>
    </row>
    <row r="98" spans="1:11" s="4" customFormat="1" ht="38.25" x14ac:dyDescent="0.2">
      <c r="A98" s="99" t="s">
        <v>176</v>
      </c>
      <c r="B98" s="9" t="s">
        <v>177</v>
      </c>
      <c r="C98" s="1" t="s">
        <v>11</v>
      </c>
      <c r="D98" s="1" t="s">
        <v>178</v>
      </c>
      <c r="E98" s="2" t="s">
        <v>39</v>
      </c>
      <c r="F98" s="137">
        <v>20</v>
      </c>
      <c r="G98" s="10">
        <v>30.12</v>
      </c>
      <c r="H98" s="11">
        <v>38.549999999999997</v>
      </c>
      <c r="I98" s="179"/>
      <c r="J98" s="183">
        <v>7</v>
      </c>
      <c r="K98" s="183">
        <v>269.85000000000002</v>
      </c>
    </row>
    <row r="99" spans="1:11" s="4" customFormat="1" ht="38.25" x14ac:dyDescent="0.2">
      <c r="A99" s="99" t="s">
        <v>179</v>
      </c>
      <c r="B99" s="9" t="s">
        <v>180</v>
      </c>
      <c r="C99" s="1" t="s">
        <v>11</v>
      </c>
      <c r="D99" s="1" t="s">
        <v>278</v>
      </c>
      <c r="E99" s="2" t="s">
        <v>39</v>
      </c>
      <c r="F99" s="137">
        <v>20</v>
      </c>
      <c r="G99" s="10">
        <v>72.19</v>
      </c>
      <c r="H99" s="11">
        <v>92.4</v>
      </c>
      <c r="I99" s="179"/>
      <c r="J99" s="183">
        <v>7</v>
      </c>
      <c r="K99" s="183">
        <v>646.79999999999995</v>
      </c>
    </row>
    <row r="100" spans="1:11" s="4" customFormat="1" ht="38.25" x14ac:dyDescent="0.2">
      <c r="A100" s="99" t="s">
        <v>181</v>
      </c>
      <c r="B100" s="9" t="s">
        <v>182</v>
      </c>
      <c r="C100" s="1" t="s">
        <v>11</v>
      </c>
      <c r="D100" s="1" t="s">
        <v>183</v>
      </c>
      <c r="E100" s="2" t="s">
        <v>39</v>
      </c>
      <c r="F100" s="137">
        <v>40</v>
      </c>
      <c r="G100" s="10">
        <v>60.86</v>
      </c>
      <c r="H100" s="11">
        <v>77.900000000000006</v>
      </c>
      <c r="I100" s="179"/>
      <c r="J100" s="183"/>
      <c r="K100" s="183">
        <v>0</v>
      </c>
    </row>
    <row r="101" spans="1:11" s="4" customFormat="1" ht="38.25" x14ac:dyDescent="0.2">
      <c r="A101" s="99" t="s">
        <v>184</v>
      </c>
      <c r="B101" s="9" t="s">
        <v>185</v>
      </c>
      <c r="C101" s="1" t="s">
        <v>11</v>
      </c>
      <c r="D101" s="1" t="s">
        <v>186</v>
      </c>
      <c r="E101" s="2" t="s">
        <v>39</v>
      </c>
      <c r="F101" s="137">
        <v>40</v>
      </c>
      <c r="G101" s="10">
        <v>64.16</v>
      </c>
      <c r="H101" s="11">
        <v>82.12</v>
      </c>
      <c r="I101" s="179"/>
      <c r="J101" s="183">
        <v>31</v>
      </c>
      <c r="K101" s="183">
        <v>2545.7199999999998</v>
      </c>
    </row>
    <row r="102" spans="1:11" s="4" customFormat="1" ht="25.5" x14ac:dyDescent="0.2">
      <c r="A102" s="99" t="s">
        <v>187</v>
      </c>
      <c r="B102" s="9" t="s">
        <v>188</v>
      </c>
      <c r="C102" s="1" t="s">
        <v>11</v>
      </c>
      <c r="D102" s="1" t="s">
        <v>451</v>
      </c>
      <c r="E102" s="2" t="s">
        <v>39</v>
      </c>
      <c r="F102" s="137">
        <v>50</v>
      </c>
      <c r="G102" s="10">
        <v>1.7</v>
      </c>
      <c r="H102" s="11">
        <v>2.17</v>
      </c>
      <c r="I102" s="179"/>
      <c r="J102" s="183">
        <v>22</v>
      </c>
      <c r="K102" s="183">
        <v>47.74</v>
      </c>
    </row>
    <row r="103" spans="1:11" s="4" customFormat="1" ht="38.25" x14ac:dyDescent="0.2">
      <c r="A103" s="99" t="s">
        <v>189</v>
      </c>
      <c r="B103" s="9" t="s">
        <v>190</v>
      </c>
      <c r="C103" s="1" t="s">
        <v>11</v>
      </c>
      <c r="D103" s="1" t="s">
        <v>191</v>
      </c>
      <c r="E103" s="2" t="s">
        <v>39</v>
      </c>
      <c r="F103" s="137">
        <v>20</v>
      </c>
      <c r="G103" s="10">
        <v>32.42</v>
      </c>
      <c r="H103" s="11">
        <v>41.49</v>
      </c>
      <c r="I103" s="179"/>
      <c r="J103" s="183"/>
      <c r="K103" s="183">
        <v>0</v>
      </c>
    </row>
    <row r="104" spans="1:11" s="4" customFormat="1" ht="38.25" x14ac:dyDescent="0.2">
      <c r="A104" s="99" t="s">
        <v>192</v>
      </c>
      <c r="B104" s="9" t="s">
        <v>193</v>
      </c>
      <c r="C104" s="1" t="s">
        <v>11</v>
      </c>
      <c r="D104" s="1" t="s">
        <v>281</v>
      </c>
      <c r="E104" s="2" t="s">
        <v>39</v>
      </c>
      <c r="F104" s="137">
        <v>40</v>
      </c>
      <c r="G104" s="10">
        <v>49.98</v>
      </c>
      <c r="H104" s="11">
        <v>63.97</v>
      </c>
      <c r="I104" s="179"/>
      <c r="J104" s="183"/>
      <c r="K104" s="183">
        <v>0</v>
      </c>
    </row>
    <row r="105" spans="1:11" s="4" customFormat="1" ht="38.25" x14ac:dyDescent="0.2">
      <c r="A105" s="99" t="s">
        <v>194</v>
      </c>
      <c r="B105" s="9" t="s">
        <v>195</v>
      </c>
      <c r="C105" s="1" t="s">
        <v>11</v>
      </c>
      <c r="D105" s="1" t="s">
        <v>196</v>
      </c>
      <c r="E105" s="2" t="s">
        <v>39</v>
      </c>
      <c r="F105" s="137">
        <v>50</v>
      </c>
      <c r="G105" s="10">
        <v>21.37</v>
      </c>
      <c r="H105" s="11">
        <v>27.35</v>
      </c>
      <c r="I105" s="179"/>
      <c r="J105" s="183">
        <v>27</v>
      </c>
      <c r="K105" s="183">
        <v>738.45</v>
      </c>
    </row>
    <row r="106" spans="1:11" s="4" customFormat="1" ht="38.25" x14ac:dyDescent="0.2">
      <c r="A106" s="99" t="s">
        <v>197</v>
      </c>
      <c r="B106" s="9" t="s">
        <v>198</v>
      </c>
      <c r="C106" s="1" t="s">
        <v>11</v>
      </c>
      <c r="D106" s="1" t="s">
        <v>199</v>
      </c>
      <c r="E106" s="2" t="s">
        <v>32</v>
      </c>
      <c r="F106" s="137">
        <v>610</v>
      </c>
      <c r="G106" s="10">
        <v>3.6</v>
      </c>
      <c r="H106" s="11">
        <v>4.5999999999999996</v>
      </c>
      <c r="I106" s="179"/>
      <c r="J106" s="183">
        <v>330</v>
      </c>
      <c r="K106" s="183">
        <v>1518</v>
      </c>
    </row>
    <row r="107" spans="1:11" s="4" customFormat="1" ht="25.5" x14ac:dyDescent="0.2">
      <c r="A107" s="99" t="s">
        <v>200</v>
      </c>
      <c r="B107" s="9" t="s">
        <v>201</v>
      </c>
      <c r="C107" s="1" t="s">
        <v>11</v>
      </c>
      <c r="D107" s="1" t="s">
        <v>202</v>
      </c>
      <c r="E107" s="2" t="s">
        <v>39</v>
      </c>
      <c r="F107" s="137">
        <v>50</v>
      </c>
      <c r="G107" s="10">
        <v>42.05</v>
      </c>
      <c r="H107" s="11">
        <v>53.82</v>
      </c>
      <c r="I107" s="179"/>
      <c r="J107" s="183">
        <v>48</v>
      </c>
      <c r="K107" s="183">
        <v>2583.36</v>
      </c>
    </row>
    <row r="108" spans="1:11" s="4" customFormat="1" ht="25.5" x14ac:dyDescent="0.2">
      <c r="A108" s="99" t="s">
        <v>203</v>
      </c>
      <c r="B108" s="9" t="s">
        <v>204</v>
      </c>
      <c r="C108" s="1" t="s">
        <v>11</v>
      </c>
      <c r="D108" s="1" t="s">
        <v>448</v>
      </c>
      <c r="E108" s="2" t="s">
        <v>39</v>
      </c>
      <c r="F108" s="137">
        <v>30</v>
      </c>
      <c r="G108" s="10">
        <v>30.35</v>
      </c>
      <c r="H108" s="11">
        <v>38.840000000000003</v>
      </c>
      <c r="I108" s="179"/>
      <c r="J108" s="183"/>
      <c r="K108" s="183">
        <v>0</v>
      </c>
    </row>
    <row r="109" spans="1:11" s="4" customFormat="1" ht="25.5" x14ac:dyDescent="0.2">
      <c r="A109" s="99" t="s">
        <v>205</v>
      </c>
      <c r="B109" s="9" t="s">
        <v>269</v>
      </c>
      <c r="C109" s="1" t="s">
        <v>57</v>
      </c>
      <c r="D109" s="1" t="s">
        <v>206</v>
      </c>
      <c r="E109" s="2" t="s">
        <v>39</v>
      </c>
      <c r="F109" s="137">
        <v>50</v>
      </c>
      <c r="G109" s="10">
        <v>50.45</v>
      </c>
      <c r="H109" s="11">
        <v>64.569999999999993</v>
      </c>
      <c r="I109" s="179"/>
      <c r="J109" s="183"/>
      <c r="K109" s="183">
        <v>0</v>
      </c>
    </row>
    <row r="110" spans="1:11" s="4" customFormat="1" ht="25.5" x14ac:dyDescent="0.2">
      <c r="A110" s="99" t="s">
        <v>207</v>
      </c>
      <c r="B110" s="9" t="s">
        <v>268</v>
      </c>
      <c r="C110" s="1" t="s">
        <v>57</v>
      </c>
      <c r="D110" s="1" t="s">
        <v>208</v>
      </c>
      <c r="E110" s="2" t="s">
        <v>39</v>
      </c>
      <c r="F110" s="137">
        <v>50</v>
      </c>
      <c r="G110" s="10">
        <v>53</v>
      </c>
      <c r="H110" s="11">
        <v>67.84</v>
      </c>
      <c r="I110" s="179"/>
      <c r="J110" s="183"/>
      <c r="K110" s="183">
        <v>0</v>
      </c>
    </row>
    <row r="111" spans="1:11" s="4" customFormat="1" ht="25.5" x14ac:dyDescent="0.2">
      <c r="A111" s="99" t="s">
        <v>209</v>
      </c>
      <c r="B111" s="9" t="s">
        <v>267</v>
      </c>
      <c r="C111" s="1" t="s">
        <v>57</v>
      </c>
      <c r="D111" s="1" t="s">
        <v>210</v>
      </c>
      <c r="E111" s="2" t="s">
        <v>39</v>
      </c>
      <c r="F111" s="137">
        <v>50</v>
      </c>
      <c r="G111" s="10">
        <v>40.86</v>
      </c>
      <c r="H111" s="11">
        <v>52.3</v>
      </c>
      <c r="I111" s="179"/>
      <c r="J111" s="183"/>
      <c r="K111" s="183">
        <v>0</v>
      </c>
    </row>
    <row r="112" spans="1:11" s="4" customFormat="1" ht="25.5" x14ac:dyDescent="0.2">
      <c r="A112" s="99" t="s">
        <v>211</v>
      </c>
      <c r="B112" s="9" t="s">
        <v>266</v>
      </c>
      <c r="C112" s="1" t="s">
        <v>57</v>
      </c>
      <c r="D112" s="1" t="s">
        <v>212</v>
      </c>
      <c r="E112" s="2" t="s">
        <v>39</v>
      </c>
      <c r="F112" s="137">
        <v>50</v>
      </c>
      <c r="G112" s="10">
        <v>38.299999999999997</v>
      </c>
      <c r="H112" s="11">
        <v>49.02</v>
      </c>
      <c r="I112" s="179"/>
      <c r="J112" s="183"/>
      <c r="K112" s="183">
        <v>0</v>
      </c>
    </row>
    <row r="113" spans="1:11" s="4" customFormat="1" ht="25.5" x14ac:dyDescent="0.2">
      <c r="A113" s="99" t="s">
        <v>213</v>
      </c>
      <c r="B113" s="9" t="s">
        <v>265</v>
      </c>
      <c r="C113" s="1" t="s">
        <v>57</v>
      </c>
      <c r="D113" s="1" t="s">
        <v>214</v>
      </c>
      <c r="E113" s="2" t="s">
        <v>32</v>
      </c>
      <c r="F113" s="137">
        <v>100</v>
      </c>
      <c r="G113" s="10">
        <v>2.7</v>
      </c>
      <c r="H113" s="11">
        <v>3.45</v>
      </c>
      <c r="I113" s="179"/>
      <c r="J113" s="183"/>
      <c r="K113" s="183">
        <v>0</v>
      </c>
    </row>
    <row r="114" spans="1:11" s="4" customFormat="1" ht="25.5" x14ac:dyDescent="0.2">
      <c r="A114" s="99" t="s">
        <v>215</v>
      </c>
      <c r="B114" s="9" t="s">
        <v>264</v>
      </c>
      <c r="C114" s="1" t="s">
        <v>57</v>
      </c>
      <c r="D114" s="1" t="s">
        <v>216</v>
      </c>
      <c r="E114" s="2" t="s">
        <v>39</v>
      </c>
      <c r="F114" s="137">
        <v>50</v>
      </c>
      <c r="G114" s="10">
        <v>3.6</v>
      </c>
      <c r="H114" s="11">
        <v>4.5999999999999996</v>
      </c>
      <c r="I114" s="179"/>
      <c r="J114" s="183">
        <v>48</v>
      </c>
      <c r="K114" s="183">
        <v>220.8</v>
      </c>
    </row>
    <row r="115" spans="1:11" s="4" customFormat="1" ht="25.5" x14ac:dyDescent="0.2">
      <c r="A115" s="99" t="s">
        <v>217</v>
      </c>
      <c r="B115" s="9" t="s">
        <v>263</v>
      </c>
      <c r="C115" s="1" t="s">
        <v>57</v>
      </c>
      <c r="D115" s="1" t="s">
        <v>218</v>
      </c>
      <c r="E115" s="2" t="s">
        <v>39</v>
      </c>
      <c r="F115" s="137">
        <v>50</v>
      </c>
      <c r="G115" s="10">
        <v>39.25</v>
      </c>
      <c r="H115" s="11">
        <v>50.24</v>
      </c>
      <c r="I115" s="179"/>
      <c r="J115" s="183">
        <v>9</v>
      </c>
      <c r="K115" s="183">
        <v>452.16</v>
      </c>
    </row>
    <row r="116" spans="1:11" s="4" customFormat="1" ht="38.25" x14ac:dyDescent="0.2">
      <c r="A116" s="99" t="s">
        <v>219</v>
      </c>
      <c r="B116" s="9" t="s">
        <v>220</v>
      </c>
      <c r="C116" s="1" t="s">
        <v>11</v>
      </c>
      <c r="D116" s="1" t="s">
        <v>292</v>
      </c>
      <c r="E116" s="2" t="s">
        <v>39</v>
      </c>
      <c r="F116" s="137">
        <v>6</v>
      </c>
      <c r="G116" s="10">
        <v>7.94</v>
      </c>
      <c r="H116" s="11">
        <f>TRUNC(G116*1.28,2)</f>
        <v>10.16</v>
      </c>
      <c r="I116" s="179"/>
      <c r="J116" s="183"/>
      <c r="K116" s="183">
        <v>0</v>
      </c>
    </row>
    <row r="117" spans="1:11" s="4" customFormat="1" ht="38.25" x14ac:dyDescent="0.2">
      <c r="A117" s="99" t="s">
        <v>402</v>
      </c>
      <c r="B117" s="9">
        <v>90444</v>
      </c>
      <c r="C117" s="1" t="s">
        <v>11</v>
      </c>
      <c r="D117" s="1" t="s">
        <v>296</v>
      </c>
      <c r="E117" s="2" t="s">
        <v>32</v>
      </c>
      <c r="F117" s="137"/>
      <c r="G117" s="10">
        <v>38.979999999999997</v>
      </c>
      <c r="H117" s="11">
        <f t="shared" ref="H117:H130" si="2">TRUNC(G117*1.28,2)</f>
        <v>49.89</v>
      </c>
      <c r="I117" s="179"/>
      <c r="J117" s="183">
        <v>12</v>
      </c>
      <c r="K117" s="183">
        <v>598.67999999999995</v>
      </c>
    </row>
    <row r="118" spans="1:11" s="4" customFormat="1" ht="38.25" x14ac:dyDescent="0.2">
      <c r="A118" s="99" t="s">
        <v>403</v>
      </c>
      <c r="B118" s="9">
        <v>90468</v>
      </c>
      <c r="C118" s="1" t="s">
        <v>11</v>
      </c>
      <c r="D118" s="1" t="s">
        <v>297</v>
      </c>
      <c r="E118" s="2" t="s">
        <v>32</v>
      </c>
      <c r="F118" s="137"/>
      <c r="G118" s="10">
        <v>7.28</v>
      </c>
      <c r="H118" s="11">
        <f t="shared" si="2"/>
        <v>9.31</v>
      </c>
      <c r="I118" s="179"/>
      <c r="J118" s="183">
        <v>12</v>
      </c>
      <c r="K118" s="183">
        <v>111.72</v>
      </c>
    </row>
    <row r="119" spans="1:11" s="4" customFormat="1" ht="38.25" x14ac:dyDescent="0.2">
      <c r="A119" s="99" t="s">
        <v>404</v>
      </c>
      <c r="B119" s="9" t="s">
        <v>516</v>
      </c>
      <c r="C119" s="1" t="s">
        <v>57</v>
      </c>
      <c r="D119" s="1" t="s">
        <v>298</v>
      </c>
      <c r="E119" s="2" t="s">
        <v>243</v>
      </c>
      <c r="F119" s="137"/>
      <c r="G119" s="10">
        <v>127.38</v>
      </c>
      <c r="H119" s="11">
        <f t="shared" si="2"/>
        <v>163.04</v>
      </c>
      <c r="I119" s="179"/>
      <c r="J119" s="183">
        <v>3</v>
      </c>
      <c r="K119" s="183">
        <v>489.12</v>
      </c>
    </row>
    <row r="120" spans="1:11" s="4" customFormat="1" ht="25.5" x14ac:dyDescent="0.2">
      <c r="A120" s="99" t="s">
        <v>405</v>
      </c>
      <c r="B120" s="9">
        <v>97587</v>
      </c>
      <c r="C120" s="1" t="s">
        <v>11</v>
      </c>
      <c r="D120" s="1" t="s">
        <v>625</v>
      </c>
      <c r="E120" s="2" t="s">
        <v>243</v>
      </c>
      <c r="F120" s="137"/>
      <c r="G120" s="10">
        <v>276.22000000000003</v>
      </c>
      <c r="H120" s="11">
        <f t="shared" si="2"/>
        <v>353.56</v>
      </c>
      <c r="I120" s="179"/>
      <c r="J120" s="183">
        <v>9</v>
      </c>
      <c r="K120" s="183">
        <v>3182.04</v>
      </c>
    </row>
    <row r="121" spans="1:11" s="4" customFormat="1" ht="38.25" x14ac:dyDescent="0.2">
      <c r="A121" s="99" t="s">
        <v>406</v>
      </c>
      <c r="B121" s="9" t="s">
        <v>629</v>
      </c>
      <c r="C121" s="1" t="s">
        <v>57</v>
      </c>
      <c r="D121" s="1" t="s">
        <v>299</v>
      </c>
      <c r="E121" s="2" t="s">
        <v>243</v>
      </c>
      <c r="F121" s="137"/>
      <c r="G121" s="10">
        <v>966.55</v>
      </c>
      <c r="H121" s="11">
        <f t="shared" si="2"/>
        <v>1237.18</v>
      </c>
      <c r="I121" s="179"/>
      <c r="J121" s="183">
        <v>1</v>
      </c>
      <c r="K121" s="183">
        <v>1237.18</v>
      </c>
    </row>
    <row r="122" spans="1:11" s="4" customFormat="1" ht="38.25" x14ac:dyDescent="0.2">
      <c r="A122" s="99" t="s">
        <v>407</v>
      </c>
      <c r="B122" s="9" t="s">
        <v>627</v>
      </c>
      <c r="C122" s="1" t="s">
        <v>57</v>
      </c>
      <c r="D122" s="1" t="s">
        <v>626</v>
      </c>
      <c r="E122" s="2" t="s">
        <v>243</v>
      </c>
      <c r="F122" s="137"/>
      <c r="G122" s="10">
        <f>293.65+263.25</f>
        <v>556.9</v>
      </c>
      <c r="H122" s="11">
        <f t="shared" si="2"/>
        <v>712.83</v>
      </c>
      <c r="I122" s="179"/>
      <c r="J122" s="183">
        <v>3</v>
      </c>
      <c r="K122" s="183">
        <v>2138.4899999999998</v>
      </c>
    </row>
    <row r="123" spans="1:11" s="4" customFormat="1" ht="38.25" x14ac:dyDescent="0.2">
      <c r="A123" s="99" t="s">
        <v>408</v>
      </c>
      <c r="B123" s="9" t="s">
        <v>628</v>
      </c>
      <c r="C123" s="1" t="s">
        <v>57</v>
      </c>
      <c r="D123" s="1" t="s">
        <v>300</v>
      </c>
      <c r="E123" s="2" t="s">
        <v>243</v>
      </c>
      <c r="F123" s="137"/>
      <c r="G123" s="10">
        <v>1396.55</v>
      </c>
      <c r="H123" s="11">
        <f t="shared" si="2"/>
        <v>1787.58</v>
      </c>
      <c r="I123" s="179"/>
      <c r="J123" s="183">
        <v>1</v>
      </c>
      <c r="K123" s="183">
        <v>1787.58</v>
      </c>
    </row>
    <row r="124" spans="1:11" s="4" customFormat="1" ht="38.25" x14ac:dyDescent="0.2">
      <c r="A124" s="99" t="s">
        <v>637</v>
      </c>
      <c r="B124" s="9" t="s">
        <v>646</v>
      </c>
      <c r="C124" s="1" t="s">
        <v>57</v>
      </c>
      <c r="D124" s="1" t="s">
        <v>645</v>
      </c>
      <c r="E124" s="2" t="s">
        <v>243</v>
      </c>
      <c r="F124" s="137"/>
      <c r="G124" s="10">
        <v>18.27</v>
      </c>
      <c r="H124" s="11">
        <f t="shared" si="2"/>
        <v>23.38</v>
      </c>
      <c r="I124" s="179"/>
      <c r="J124" s="183"/>
      <c r="K124" s="183">
        <v>0</v>
      </c>
    </row>
    <row r="125" spans="1:11" s="4" customFormat="1" ht="38.25" x14ac:dyDescent="0.2">
      <c r="A125" s="99" t="s">
        <v>638</v>
      </c>
      <c r="B125" s="9" t="s">
        <v>653</v>
      </c>
      <c r="C125" s="1" t="s">
        <v>57</v>
      </c>
      <c r="D125" s="1" t="s">
        <v>652</v>
      </c>
      <c r="E125" s="2" t="s">
        <v>243</v>
      </c>
      <c r="F125" s="137"/>
      <c r="G125" s="10">
        <v>110.85</v>
      </c>
      <c r="H125" s="11">
        <f t="shared" si="2"/>
        <v>141.88</v>
      </c>
      <c r="I125" s="179"/>
      <c r="J125" s="183"/>
      <c r="K125" s="183">
        <v>0</v>
      </c>
    </row>
    <row r="126" spans="1:11" s="4" customFormat="1" ht="38.25" x14ac:dyDescent="0.2">
      <c r="A126" s="99" t="s">
        <v>674</v>
      </c>
      <c r="B126" s="9" t="s">
        <v>682</v>
      </c>
      <c r="C126" s="1" t="s">
        <v>57</v>
      </c>
      <c r="D126" s="1" t="s">
        <v>680</v>
      </c>
      <c r="E126" s="2" t="s">
        <v>243</v>
      </c>
      <c r="F126" s="137"/>
      <c r="G126" s="10">
        <v>103.42</v>
      </c>
      <c r="H126" s="11">
        <f>TRUNC(G126*1.28,2)</f>
        <v>132.37</v>
      </c>
      <c r="I126" s="179"/>
      <c r="J126" s="183">
        <v>3</v>
      </c>
      <c r="K126" s="183">
        <v>397.11</v>
      </c>
    </row>
    <row r="127" spans="1:11" s="4" customFormat="1" ht="38.25" x14ac:dyDescent="0.2">
      <c r="A127" s="99" t="s">
        <v>639</v>
      </c>
      <c r="B127" s="9" t="s">
        <v>642</v>
      </c>
      <c r="C127" s="1" t="s">
        <v>57</v>
      </c>
      <c r="D127" s="1" t="s">
        <v>641</v>
      </c>
      <c r="E127" s="2" t="s">
        <v>32</v>
      </c>
      <c r="F127" s="137"/>
      <c r="G127" s="10">
        <v>50.04</v>
      </c>
      <c r="H127" s="11">
        <f t="shared" si="2"/>
        <v>64.05</v>
      </c>
      <c r="I127" s="179"/>
      <c r="J127" s="183"/>
      <c r="K127" s="183">
        <v>0</v>
      </c>
    </row>
    <row r="128" spans="1:11" s="4" customFormat="1" ht="38.25" x14ac:dyDescent="0.2">
      <c r="A128" s="99" t="s">
        <v>640</v>
      </c>
      <c r="B128" s="9" t="s">
        <v>643</v>
      </c>
      <c r="C128" s="1" t="s">
        <v>57</v>
      </c>
      <c r="D128" s="1" t="s">
        <v>644</v>
      </c>
      <c r="E128" s="2" t="s">
        <v>32</v>
      </c>
      <c r="F128" s="137"/>
      <c r="G128" s="10">
        <v>81.45</v>
      </c>
      <c r="H128" s="11">
        <f t="shared" si="2"/>
        <v>104.25</v>
      </c>
      <c r="I128" s="179"/>
      <c r="J128" s="183"/>
      <c r="K128" s="183">
        <v>0</v>
      </c>
    </row>
    <row r="129" spans="1:11" s="4" customFormat="1" ht="25.5" x14ac:dyDescent="0.2">
      <c r="A129" s="99" t="s">
        <v>675</v>
      </c>
      <c r="B129" s="9" t="s">
        <v>700</v>
      </c>
      <c r="C129" s="1" t="s">
        <v>57</v>
      </c>
      <c r="D129" s="1" t="s">
        <v>699</v>
      </c>
      <c r="E129" s="2" t="s">
        <v>243</v>
      </c>
      <c r="F129" s="137"/>
      <c r="G129" s="10">
        <v>38.14</v>
      </c>
      <c r="H129" s="11">
        <f t="shared" si="2"/>
        <v>48.81</v>
      </c>
      <c r="I129" s="179"/>
      <c r="J129" s="183"/>
      <c r="K129" s="183">
        <v>0</v>
      </c>
    </row>
    <row r="130" spans="1:11" s="4" customFormat="1" ht="25.5" x14ac:dyDescent="0.2">
      <c r="A130" s="99" t="s">
        <v>702</v>
      </c>
      <c r="B130" s="9" t="s">
        <v>701</v>
      </c>
      <c r="C130" s="1" t="s">
        <v>57</v>
      </c>
      <c r="D130" s="1" t="s">
        <v>703</v>
      </c>
      <c r="E130" s="2" t="s">
        <v>243</v>
      </c>
      <c r="F130" s="137"/>
      <c r="G130" s="10">
        <v>10.8</v>
      </c>
      <c r="H130" s="11">
        <f t="shared" si="2"/>
        <v>13.82</v>
      </c>
      <c r="I130" s="179"/>
      <c r="J130" s="183"/>
      <c r="K130" s="183">
        <v>0</v>
      </c>
    </row>
    <row r="131" spans="1:11" s="4" customFormat="1" x14ac:dyDescent="0.2">
      <c r="A131" s="98" t="s">
        <v>221</v>
      </c>
      <c r="B131" s="12"/>
      <c r="C131" s="12"/>
      <c r="D131" s="12" t="s">
        <v>222</v>
      </c>
      <c r="E131" s="98"/>
      <c r="F131" s="138"/>
      <c r="G131" s="12"/>
      <c r="H131" s="12"/>
      <c r="I131" s="178"/>
      <c r="J131" s="169"/>
      <c r="K131" s="169">
        <v>16318.92</v>
      </c>
    </row>
    <row r="132" spans="1:11" s="4" customFormat="1" ht="25.5" x14ac:dyDescent="0.2">
      <c r="A132" s="99" t="s">
        <v>223</v>
      </c>
      <c r="B132" s="9" t="s">
        <v>224</v>
      </c>
      <c r="C132" s="1" t="s">
        <v>11</v>
      </c>
      <c r="D132" s="1" t="s">
        <v>447</v>
      </c>
      <c r="E132" s="2" t="s">
        <v>21</v>
      </c>
      <c r="F132" s="137">
        <v>500</v>
      </c>
      <c r="G132" s="10">
        <v>13.19</v>
      </c>
      <c r="H132" s="53">
        <v>16.88</v>
      </c>
      <c r="I132" s="180"/>
      <c r="J132" s="184"/>
      <c r="K132" s="184">
        <v>0</v>
      </c>
    </row>
    <row r="133" spans="1:11" s="4" customFormat="1" ht="25.5" x14ac:dyDescent="0.2">
      <c r="A133" s="99" t="s">
        <v>225</v>
      </c>
      <c r="B133" s="9" t="s">
        <v>226</v>
      </c>
      <c r="C133" s="1" t="s">
        <v>11</v>
      </c>
      <c r="D133" s="1" t="s">
        <v>283</v>
      </c>
      <c r="E133" s="2" t="s">
        <v>21</v>
      </c>
      <c r="F133" s="137">
        <v>250</v>
      </c>
      <c r="G133" s="10">
        <v>15.67</v>
      </c>
      <c r="H133" s="11">
        <v>20.05</v>
      </c>
      <c r="I133" s="179"/>
      <c r="J133" s="183">
        <v>111.89</v>
      </c>
      <c r="K133" s="183">
        <v>2243.39</v>
      </c>
    </row>
    <row r="134" spans="1:11" s="4" customFormat="1" ht="25.5" x14ac:dyDescent="0.2">
      <c r="A134" s="99" t="s">
        <v>227</v>
      </c>
      <c r="B134" s="9" t="s">
        <v>228</v>
      </c>
      <c r="C134" s="1" t="s">
        <v>11</v>
      </c>
      <c r="D134" s="1" t="s">
        <v>547</v>
      </c>
      <c r="E134" s="2" t="s">
        <v>21</v>
      </c>
      <c r="F134" s="137">
        <v>500</v>
      </c>
      <c r="G134" s="10">
        <v>16.78</v>
      </c>
      <c r="H134" s="11">
        <v>21.47</v>
      </c>
      <c r="I134" s="179"/>
      <c r="J134" s="183">
        <v>92.68</v>
      </c>
      <c r="K134" s="183">
        <v>1989.83</v>
      </c>
    </row>
    <row r="135" spans="1:11" s="4" customFormat="1" ht="51" x14ac:dyDescent="0.2">
      <c r="A135" s="99" t="s">
        <v>229</v>
      </c>
      <c r="B135" s="9" t="s">
        <v>230</v>
      </c>
      <c r="C135" s="1" t="s">
        <v>11</v>
      </c>
      <c r="D135" s="1" t="s">
        <v>282</v>
      </c>
      <c r="E135" s="2" t="s">
        <v>21</v>
      </c>
      <c r="F135" s="137">
        <v>250</v>
      </c>
      <c r="G135" s="10">
        <v>26.11</v>
      </c>
      <c r="H135" s="11">
        <v>33.42</v>
      </c>
      <c r="I135" s="179"/>
      <c r="J135" s="183"/>
      <c r="K135" s="183">
        <v>0</v>
      </c>
    </row>
    <row r="136" spans="1:11" s="4" customFormat="1" ht="25.5" x14ac:dyDescent="0.2">
      <c r="A136" s="99" t="s">
        <v>231</v>
      </c>
      <c r="B136" s="9" t="s">
        <v>272</v>
      </c>
      <c r="C136" s="1" t="s">
        <v>57</v>
      </c>
      <c r="D136" s="1" t="s">
        <v>232</v>
      </c>
      <c r="E136" s="2" t="s">
        <v>21</v>
      </c>
      <c r="F136" s="137">
        <v>500</v>
      </c>
      <c r="G136" s="116">
        <v>17.690000000000001</v>
      </c>
      <c r="H136" s="53">
        <f>TRUNC(G136*1.28,2)</f>
        <v>22.64</v>
      </c>
      <c r="I136" s="180"/>
      <c r="J136" s="184">
        <v>388.35</v>
      </c>
      <c r="K136" s="184">
        <v>8792.24</v>
      </c>
    </row>
    <row r="137" spans="1:11" s="4" customFormat="1" ht="25.5" x14ac:dyDescent="0.2">
      <c r="A137" s="99" t="s">
        <v>427</v>
      </c>
      <c r="B137" s="9" t="s">
        <v>495</v>
      </c>
      <c r="C137" s="1" t="s">
        <v>246</v>
      </c>
      <c r="D137" s="1" t="s">
        <v>293</v>
      </c>
      <c r="E137" s="2" t="s">
        <v>294</v>
      </c>
      <c r="F137" s="137"/>
      <c r="G137" s="10">
        <v>17.04</v>
      </c>
      <c r="H137" s="11">
        <f>TRUNC(G137*1.28,2)</f>
        <v>21.81</v>
      </c>
      <c r="I137" s="179"/>
      <c r="J137" s="183">
        <v>0</v>
      </c>
      <c r="K137" s="183">
        <v>0</v>
      </c>
    </row>
    <row r="138" spans="1:11" s="4" customFormat="1" ht="25.5" x14ac:dyDescent="0.2">
      <c r="A138" s="99" t="s">
        <v>428</v>
      </c>
      <c r="B138" s="9">
        <v>88485</v>
      </c>
      <c r="C138" s="1" t="s">
        <v>11</v>
      </c>
      <c r="D138" s="1" t="s">
        <v>248</v>
      </c>
      <c r="E138" s="2" t="s">
        <v>21</v>
      </c>
      <c r="F138" s="137"/>
      <c r="G138" s="10">
        <v>2.52</v>
      </c>
      <c r="H138" s="11">
        <f t="shared" ref="H138:H142" si="3">TRUNC(G138*1.28,2)</f>
        <v>3.22</v>
      </c>
      <c r="I138" s="179"/>
      <c r="J138" s="183">
        <v>4.4000000000000004</v>
      </c>
      <c r="K138" s="183">
        <v>14.16</v>
      </c>
    </row>
    <row r="139" spans="1:11" s="4" customFormat="1" ht="25.5" x14ac:dyDescent="0.2">
      <c r="A139" s="99" t="s">
        <v>429</v>
      </c>
      <c r="B139" s="9">
        <v>88484</v>
      </c>
      <c r="C139" s="1" t="s">
        <v>11</v>
      </c>
      <c r="D139" s="1" t="s">
        <v>249</v>
      </c>
      <c r="E139" s="2" t="s">
        <v>21</v>
      </c>
      <c r="F139" s="137"/>
      <c r="G139" s="10">
        <v>3.07</v>
      </c>
      <c r="H139" s="11">
        <f t="shared" si="3"/>
        <v>3.92</v>
      </c>
      <c r="I139" s="179"/>
      <c r="J139" s="183">
        <v>52.22</v>
      </c>
      <c r="K139" s="183">
        <v>204.7</v>
      </c>
    </row>
    <row r="140" spans="1:11" s="4" customFormat="1" ht="25.5" x14ac:dyDescent="0.2">
      <c r="A140" s="99" t="s">
        <v>430</v>
      </c>
      <c r="B140" s="9">
        <v>102193</v>
      </c>
      <c r="C140" s="1" t="s">
        <v>11</v>
      </c>
      <c r="D140" s="1" t="s">
        <v>250</v>
      </c>
      <c r="E140" s="2" t="s">
        <v>21</v>
      </c>
      <c r="F140" s="137"/>
      <c r="G140" s="10">
        <v>2.11</v>
      </c>
      <c r="H140" s="11">
        <f t="shared" si="3"/>
        <v>2.7</v>
      </c>
      <c r="I140" s="179"/>
      <c r="J140" s="183">
        <v>37.950000000000003</v>
      </c>
      <c r="K140" s="183">
        <v>102.46</v>
      </c>
    </row>
    <row r="141" spans="1:11" s="4" customFormat="1" ht="38.25" x14ac:dyDescent="0.2">
      <c r="A141" s="99" t="s">
        <v>431</v>
      </c>
      <c r="B141" s="9">
        <v>102219</v>
      </c>
      <c r="C141" s="1" t="s">
        <v>11</v>
      </c>
      <c r="D141" s="1" t="s">
        <v>251</v>
      </c>
      <c r="E141" s="2" t="s">
        <v>21</v>
      </c>
      <c r="F141" s="137"/>
      <c r="G141" s="10">
        <v>16.34</v>
      </c>
      <c r="H141" s="11">
        <f t="shared" si="3"/>
        <v>20.91</v>
      </c>
      <c r="I141" s="179"/>
      <c r="J141" s="183">
        <v>37.950000000000003</v>
      </c>
      <c r="K141" s="183">
        <v>793.53</v>
      </c>
    </row>
    <row r="142" spans="1:11" s="4" customFormat="1" x14ac:dyDescent="0.2">
      <c r="A142" s="99" t="s">
        <v>432</v>
      </c>
      <c r="B142" s="9">
        <v>88496</v>
      </c>
      <c r="C142" s="1" t="s">
        <v>11</v>
      </c>
      <c r="D142" s="1" t="s">
        <v>504</v>
      </c>
      <c r="E142" s="2" t="s">
        <v>21</v>
      </c>
      <c r="F142" s="137"/>
      <c r="G142" s="10">
        <v>32.6</v>
      </c>
      <c r="H142" s="11">
        <f t="shared" si="3"/>
        <v>41.72</v>
      </c>
      <c r="I142" s="179"/>
      <c r="J142" s="183">
        <v>52.22</v>
      </c>
      <c r="K142" s="183">
        <v>2178.61</v>
      </c>
    </row>
    <row r="143" spans="1:11" s="4" customFormat="1" x14ac:dyDescent="0.2">
      <c r="A143" s="98" t="s">
        <v>233</v>
      </c>
      <c r="B143" s="8"/>
      <c r="C143" s="12"/>
      <c r="D143" s="12" t="s">
        <v>234</v>
      </c>
      <c r="E143" s="98"/>
      <c r="F143" s="138"/>
      <c r="G143" s="12"/>
      <c r="H143" s="12"/>
      <c r="I143" s="178"/>
      <c r="J143" s="169"/>
      <c r="K143" s="169">
        <v>3167.5</v>
      </c>
    </row>
    <row r="144" spans="1:11" s="4" customFormat="1" ht="63.75" x14ac:dyDescent="0.2">
      <c r="A144" s="99" t="s">
        <v>235</v>
      </c>
      <c r="B144" s="9">
        <v>100982</v>
      </c>
      <c r="C144" s="1" t="s">
        <v>11</v>
      </c>
      <c r="D144" s="1" t="s">
        <v>236</v>
      </c>
      <c r="E144" s="2" t="s">
        <v>237</v>
      </c>
      <c r="F144" s="137">
        <v>250</v>
      </c>
      <c r="G144" s="10">
        <v>7.51</v>
      </c>
      <c r="H144" s="11">
        <f>TRUNC(G144*1.28,2)</f>
        <v>9.61</v>
      </c>
      <c r="I144" s="179"/>
      <c r="J144" s="183"/>
      <c r="K144" s="183">
        <v>0</v>
      </c>
    </row>
    <row r="145" spans="1:11" s="4" customFormat="1" ht="25.5" x14ac:dyDescent="0.2">
      <c r="A145" s="99" t="s">
        <v>433</v>
      </c>
      <c r="B145" s="9" t="s">
        <v>519</v>
      </c>
      <c r="C145" s="1" t="s">
        <v>57</v>
      </c>
      <c r="D145" s="1" t="s">
        <v>526</v>
      </c>
      <c r="E145" s="2" t="s">
        <v>245</v>
      </c>
      <c r="F145" s="137"/>
      <c r="G145" s="10">
        <v>6.4</v>
      </c>
      <c r="H145" s="11">
        <f>TRUNC(G145*1.28,2)</f>
        <v>8.19</v>
      </c>
      <c r="I145" s="179"/>
      <c r="J145" s="183">
        <v>60</v>
      </c>
      <c r="K145" s="183">
        <v>491.4</v>
      </c>
    </row>
    <row r="146" spans="1:11" s="4" customFormat="1" ht="25.5" x14ac:dyDescent="0.2">
      <c r="A146" s="99" t="s">
        <v>434</v>
      </c>
      <c r="B146" s="9" t="s">
        <v>533</v>
      </c>
      <c r="C146" s="1" t="s">
        <v>57</v>
      </c>
      <c r="D146" s="1" t="s">
        <v>295</v>
      </c>
      <c r="E146" s="2" t="s">
        <v>245</v>
      </c>
      <c r="F146" s="137"/>
      <c r="G146" s="10">
        <v>113.66</v>
      </c>
      <c r="H146" s="11">
        <f t="shared" ref="H146:H152" si="4">TRUNC(G146*1.28,2)</f>
        <v>145.47999999999999</v>
      </c>
      <c r="I146" s="179"/>
      <c r="J146" s="183">
        <v>0</v>
      </c>
      <c r="K146" s="183">
        <v>0</v>
      </c>
    </row>
    <row r="147" spans="1:11" s="4" customFormat="1" ht="25.5" x14ac:dyDescent="0.2">
      <c r="A147" s="99" t="s">
        <v>435</v>
      </c>
      <c r="B147" s="9" t="s">
        <v>532</v>
      </c>
      <c r="C147" s="1" t="s">
        <v>57</v>
      </c>
      <c r="D147" s="1" t="s">
        <v>656</v>
      </c>
      <c r="E147" s="2" t="s">
        <v>245</v>
      </c>
      <c r="F147" s="137"/>
      <c r="G147" s="10">
        <v>714.29</v>
      </c>
      <c r="H147" s="11">
        <f t="shared" si="4"/>
        <v>914.29</v>
      </c>
      <c r="I147" s="179"/>
      <c r="J147" s="183">
        <v>0</v>
      </c>
      <c r="K147" s="183">
        <v>0</v>
      </c>
    </row>
    <row r="148" spans="1:11" s="4" customFormat="1" ht="38.25" x14ac:dyDescent="0.2">
      <c r="A148" s="99" t="s">
        <v>436</v>
      </c>
      <c r="B148" s="9" t="s">
        <v>630</v>
      </c>
      <c r="C148" s="1" t="s">
        <v>57</v>
      </c>
      <c r="D148" s="1" t="s">
        <v>555</v>
      </c>
      <c r="E148" s="2" t="s">
        <v>243</v>
      </c>
      <c r="F148" s="137"/>
      <c r="G148" s="10">
        <v>23480</v>
      </c>
      <c r="H148" s="11">
        <f t="shared" si="4"/>
        <v>30054.400000000001</v>
      </c>
      <c r="I148" s="179"/>
      <c r="J148" s="183">
        <v>0</v>
      </c>
      <c r="K148" s="183">
        <v>0</v>
      </c>
    </row>
    <row r="149" spans="1:11" s="4" customFormat="1" ht="25.5" x14ac:dyDescent="0.2">
      <c r="A149" s="99" t="s">
        <v>437</v>
      </c>
      <c r="B149" s="9" t="s">
        <v>531</v>
      </c>
      <c r="C149" s="1" t="s">
        <v>57</v>
      </c>
      <c r="D149" s="1" t="s">
        <v>241</v>
      </c>
      <c r="E149" s="2" t="s">
        <v>543</v>
      </c>
      <c r="F149" s="137"/>
      <c r="G149" s="10">
        <v>26.41</v>
      </c>
      <c r="H149" s="11">
        <f t="shared" si="4"/>
        <v>33.799999999999997</v>
      </c>
      <c r="I149" s="179"/>
      <c r="J149" s="183">
        <v>22.37</v>
      </c>
      <c r="K149" s="183">
        <v>756.1</v>
      </c>
    </row>
    <row r="150" spans="1:11" s="4" customFormat="1" ht="38.25" x14ac:dyDescent="0.2">
      <c r="A150" s="99" t="s">
        <v>527</v>
      </c>
      <c r="B150" s="9" t="s">
        <v>530</v>
      </c>
      <c r="C150" s="1" t="s">
        <v>57</v>
      </c>
      <c r="D150" s="1" t="s">
        <v>242</v>
      </c>
      <c r="E150" s="2" t="s">
        <v>243</v>
      </c>
      <c r="F150" s="137"/>
      <c r="G150" s="10">
        <v>300</v>
      </c>
      <c r="H150" s="11">
        <f t="shared" si="4"/>
        <v>384</v>
      </c>
      <c r="I150" s="179"/>
      <c r="J150" s="183">
        <v>5</v>
      </c>
      <c r="K150" s="183">
        <v>1920</v>
      </c>
    </row>
    <row r="151" spans="1:11" s="4" customFormat="1" ht="25.5" x14ac:dyDescent="0.2">
      <c r="A151" s="99" t="s">
        <v>616</v>
      </c>
      <c r="B151" s="9" t="s">
        <v>529</v>
      </c>
      <c r="C151" s="1" t="s">
        <v>57</v>
      </c>
      <c r="D151" s="1" t="s">
        <v>244</v>
      </c>
      <c r="E151" s="2" t="s">
        <v>245</v>
      </c>
      <c r="F151" s="137"/>
      <c r="G151" s="10">
        <v>3.71</v>
      </c>
      <c r="H151" s="11">
        <f t="shared" si="4"/>
        <v>4.74</v>
      </c>
      <c r="I151" s="179"/>
      <c r="J151" s="183">
        <v>0</v>
      </c>
      <c r="K151" s="183">
        <v>0</v>
      </c>
    </row>
    <row r="152" spans="1:11" s="4" customFormat="1" ht="38.25" x14ac:dyDescent="0.2">
      <c r="A152" s="99" t="s">
        <v>698</v>
      </c>
      <c r="B152" s="9" t="s">
        <v>704</v>
      </c>
      <c r="C152" s="1" t="s">
        <v>57</v>
      </c>
      <c r="D152" s="1" t="s">
        <v>697</v>
      </c>
      <c r="E152" s="2" t="s">
        <v>243</v>
      </c>
      <c r="F152" s="137"/>
      <c r="G152" s="10">
        <v>850</v>
      </c>
      <c r="H152" s="11">
        <f t="shared" si="4"/>
        <v>1088</v>
      </c>
      <c r="I152" s="179"/>
      <c r="J152" s="183"/>
      <c r="K152" s="183">
        <v>0</v>
      </c>
    </row>
    <row r="153" spans="1:11" s="4" customFormat="1" x14ac:dyDescent="0.2">
      <c r="A153" s="98">
        <v>10</v>
      </c>
      <c r="B153" s="8"/>
      <c r="C153" s="12"/>
      <c r="D153" s="12" t="s">
        <v>565</v>
      </c>
      <c r="E153" s="98"/>
      <c r="F153" s="138"/>
      <c r="G153" s="12"/>
      <c r="H153" s="12"/>
      <c r="I153" s="178"/>
      <c r="J153" s="169"/>
      <c r="K153" s="169">
        <v>0</v>
      </c>
    </row>
    <row r="154" spans="1:11" s="4" customFormat="1" ht="38.25" x14ac:dyDescent="0.2">
      <c r="A154" s="99" t="s">
        <v>566</v>
      </c>
      <c r="B154" s="9" t="s">
        <v>705</v>
      </c>
      <c r="C154" s="1" t="s">
        <v>57</v>
      </c>
      <c r="D154" s="1" t="s">
        <v>655</v>
      </c>
      <c r="E154" s="2" t="s">
        <v>243</v>
      </c>
      <c r="F154" s="137"/>
      <c r="G154" s="10">
        <v>1281.52</v>
      </c>
      <c r="H154" s="11">
        <f>TRUNC(G154*1.28,2)</f>
        <v>1640.34</v>
      </c>
      <c r="I154" s="179"/>
      <c r="J154" s="183"/>
      <c r="K154" s="183">
        <v>0</v>
      </c>
    </row>
    <row r="155" spans="1:11" s="4" customFormat="1" ht="38.25" x14ac:dyDescent="0.2">
      <c r="A155" s="99" t="s">
        <v>567</v>
      </c>
      <c r="B155" s="9" t="s">
        <v>659</v>
      </c>
      <c r="C155" s="1" t="s">
        <v>57</v>
      </c>
      <c r="D155" s="1" t="s">
        <v>658</v>
      </c>
      <c r="E155" s="2" t="s">
        <v>32</v>
      </c>
      <c r="F155" s="137"/>
      <c r="G155" s="10">
        <v>18.48</v>
      </c>
      <c r="H155" s="11">
        <f t="shared" ref="H155" si="5">TRUNC(G155*1.28,2)</f>
        <v>23.65</v>
      </c>
      <c r="I155" s="179"/>
      <c r="J155" s="183"/>
      <c r="K155" s="183">
        <v>0</v>
      </c>
    </row>
    <row r="156" spans="1:11" s="4" customFormat="1" ht="38.25" x14ac:dyDescent="0.2">
      <c r="A156" s="99" t="s">
        <v>568</v>
      </c>
      <c r="B156" s="9" t="s">
        <v>654</v>
      </c>
      <c r="C156" s="1" t="s">
        <v>11</v>
      </c>
      <c r="D156" s="1" t="s">
        <v>657</v>
      </c>
      <c r="E156" s="2" t="s">
        <v>32</v>
      </c>
      <c r="F156" s="137"/>
      <c r="G156" s="10">
        <v>92.84</v>
      </c>
      <c r="H156" s="11">
        <f>TRUNC(G156*1.28,2)</f>
        <v>118.83</v>
      </c>
      <c r="I156" s="179"/>
      <c r="J156" s="183"/>
      <c r="K156" s="183">
        <v>0</v>
      </c>
    </row>
    <row r="157" spans="1:11" s="122" customFormat="1" x14ac:dyDescent="0.2">
      <c r="A157" s="117"/>
      <c r="B157" s="118"/>
      <c r="C157" s="119"/>
      <c r="D157" s="119"/>
      <c r="E157" s="117"/>
      <c r="F157" s="118"/>
      <c r="G157" s="120"/>
      <c r="H157" s="121"/>
      <c r="I157" s="181"/>
      <c r="J157" s="171"/>
      <c r="K157" s="171"/>
    </row>
    <row r="158" spans="1:11" s="4" customFormat="1" x14ac:dyDescent="0.2">
      <c r="A158" s="5"/>
      <c r="B158" s="5"/>
      <c r="C158" s="5"/>
      <c r="D158" s="123"/>
      <c r="E158" s="54"/>
      <c r="F158" s="146" t="s">
        <v>238</v>
      </c>
      <c r="G158" s="147"/>
      <c r="H158" s="172">
        <v>391440.5</v>
      </c>
      <c r="I158" s="174"/>
      <c r="J158" s="173"/>
      <c r="K158" s="172">
        <v>106654</v>
      </c>
    </row>
    <row r="159" spans="1:11" s="4" customFormat="1" x14ac:dyDescent="0.2">
      <c r="A159" s="5"/>
      <c r="B159" s="5"/>
      <c r="C159" s="5"/>
      <c r="D159" s="123"/>
      <c r="E159" s="54"/>
      <c r="F159" s="146" t="s">
        <v>239</v>
      </c>
      <c r="G159" s="147"/>
      <c r="H159" s="172">
        <v>109555.3</v>
      </c>
      <c r="I159" s="174"/>
      <c r="J159" s="173"/>
      <c r="K159" s="172">
        <v>29863.119999999995</v>
      </c>
    </row>
    <row r="160" spans="1:11" s="4" customFormat="1" x14ac:dyDescent="0.2">
      <c r="A160" s="5"/>
      <c r="B160" s="5"/>
      <c r="C160" s="5"/>
      <c r="D160" s="123"/>
      <c r="E160" s="54"/>
      <c r="F160" s="146" t="s">
        <v>240</v>
      </c>
      <c r="G160" s="147"/>
      <c r="H160" s="172">
        <v>500995.8</v>
      </c>
      <c r="I160" s="174"/>
      <c r="J160" s="173"/>
      <c r="K160" s="172">
        <v>136517.12</v>
      </c>
    </row>
    <row r="172" spans="5:11" x14ac:dyDescent="0.2">
      <c r="E172" s="107"/>
      <c r="F172" s="6"/>
      <c r="G172" s="6"/>
      <c r="H172" s="6"/>
      <c r="I172" s="182"/>
      <c r="J172" s="6"/>
      <c r="K172" s="6"/>
    </row>
  </sheetData>
  <mergeCells count="5">
    <mergeCell ref="A9:K9"/>
    <mergeCell ref="F158:G158"/>
    <mergeCell ref="J7:K7"/>
    <mergeCell ref="F160:G160"/>
    <mergeCell ref="F159:G159"/>
  </mergeCells>
  <phoneticPr fontId="16" type="noConversion"/>
  <printOptions horizontalCentered="1"/>
  <pageMargins left="0.59055118110236227" right="0.59055118110236227" top="0.78740157480314965" bottom="0.78740157480314965" header="0.51181102362204722" footer="0.59055118110236227"/>
  <pageSetup paperSize="9" scale="59" fitToHeight="0" orientation="landscape" r:id="rId1"/>
  <headerFooter>
    <oddFooter>&amp;RPágina &amp;P / &amp;N</oddFooter>
  </headerFooter>
  <ignoredErrors>
    <ignoredError sqref="B116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1"/>
  <sheetViews>
    <sheetView topLeftCell="A520" workbookViewId="0">
      <selection activeCell="F540" sqref="F540"/>
    </sheetView>
  </sheetViews>
  <sheetFormatPr defaultRowHeight="12" x14ac:dyDescent="0.2"/>
  <cols>
    <col min="1" max="1" width="3.25" style="20" customWidth="1"/>
    <col min="2" max="2" width="8.5" style="27" bestFit="1" customWidth="1"/>
    <col min="3" max="3" width="32.625" style="70" customWidth="1"/>
    <col min="4" max="4" width="9" style="20" bestFit="1" customWidth="1"/>
    <col min="5" max="6" width="7.375" style="20" bestFit="1" customWidth="1"/>
    <col min="7" max="7" width="5.875" style="20" bestFit="1" customWidth="1"/>
    <col min="8" max="9" width="5.625" style="20" bestFit="1" customWidth="1"/>
    <col min="10" max="10" width="5.875" style="20" bestFit="1" customWidth="1"/>
    <col min="11" max="11" width="8.75" style="20" bestFit="1" customWidth="1"/>
    <col min="12" max="12" width="5.375" style="59" customWidth="1"/>
    <col min="13" max="16384" width="9" style="20"/>
  </cols>
  <sheetData>
    <row r="1" spans="2:12" s="18" customFormat="1" ht="15.75" x14ac:dyDescent="0.25">
      <c r="B1" s="14">
        <v>0</v>
      </c>
      <c r="C1" s="68" t="s">
        <v>301</v>
      </c>
      <c r="D1" s="16"/>
      <c r="E1" s="16"/>
      <c r="F1" s="16"/>
      <c r="G1" s="16"/>
      <c r="H1" s="16"/>
      <c r="I1" s="16"/>
      <c r="J1" s="16"/>
      <c r="K1" s="17"/>
      <c r="L1" s="58"/>
    </row>
    <row r="3" spans="2:12" ht="15" x14ac:dyDescent="0.25">
      <c r="B3" s="19" t="s">
        <v>302</v>
      </c>
      <c r="C3" s="155" t="s">
        <v>303</v>
      </c>
      <c r="D3" s="155"/>
      <c r="E3" s="155"/>
      <c r="F3" s="155"/>
      <c r="G3" s="155"/>
      <c r="H3" s="155"/>
      <c r="I3" s="155"/>
      <c r="J3" s="19" t="s">
        <v>243</v>
      </c>
      <c r="K3" s="19" t="s">
        <v>304</v>
      </c>
    </row>
    <row r="4" spans="2:12" ht="15" x14ac:dyDescent="0.2">
      <c r="B4" s="21"/>
      <c r="C4" s="156"/>
      <c r="D4" s="156"/>
      <c r="E4" s="156"/>
      <c r="F4" s="156"/>
      <c r="G4" s="156"/>
      <c r="H4" s="156"/>
      <c r="I4" s="156"/>
      <c r="J4" s="21"/>
      <c r="K4" s="22">
        <f>Tabela4679[[#Totals],[Total]]</f>
        <v>0</v>
      </c>
    </row>
    <row r="5" spans="2:12" x14ac:dyDescent="0.2">
      <c r="B5" s="23" t="s">
        <v>0</v>
      </c>
      <c r="C5" s="69" t="s">
        <v>305</v>
      </c>
      <c r="D5" s="23" t="s">
        <v>306</v>
      </c>
      <c r="E5" s="23" t="s">
        <v>307</v>
      </c>
      <c r="F5" s="23" t="s">
        <v>308</v>
      </c>
      <c r="G5" s="23" t="s">
        <v>309</v>
      </c>
      <c r="H5" s="23" t="s">
        <v>310</v>
      </c>
      <c r="I5" s="23" t="s">
        <v>311</v>
      </c>
      <c r="J5" s="23" t="s">
        <v>312</v>
      </c>
      <c r="K5" s="23" t="s">
        <v>6</v>
      </c>
    </row>
    <row r="6" spans="2:12" x14ac:dyDescent="0.2">
      <c r="B6" s="24"/>
      <c r="C6" s="32"/>
      <c r="D6" s="26"/>
      <c r="E6" s="26"/>
      <c r="F6" s="26"/>
      <c r="G6" s="26"/>
      <c r="H6" s="26"/>
      <c r="I6" s="26"/>
      <c r="J6" s="26"/>
      <c r="K6" s="26">
        <f>D6</f>
        <v>0</v>
      </c>
    </row>
    <row r="7" spans="2:12" x14ac:dyDescent="0.2">
      <c r="B7" s="27" t="s">
        <v>6</v>
      </c>
      <c r="K7" s="28">
        <f>SUBTOTAL(109,Tabela4679[Total])</f>
        <v>0</v>
      </c>
    </row>
    <row r="8" spans="2:12" ht="18.75" x14ac:dyDescent="0.3">
      <c r="B8" s="157" t="s">
        <v>546</v>
      </c>
      <c r="C8" s="157"/>
      <c r="D8" s="157"/>
      <c r="E8" s="157"/>
      <c r="F8" s="157"/>
      <c r="G8" s="157"/>
      <c r="H8" s="157"/>
      <c r="I8" s="157"/>
      <c r="J8" s="157"/>
      <c r="K8" s="157"/>
    </row>
    <row r="9" spans="2:12" x14ac:dyDescent="0.2">
      <c r="B9" s="75"/>
      <c r="C9" s="75"/>
      <c r="D9" s="75"/>
      <c r="E9" s="75"/>
      <c r="F9" s="75"/>
      <c r="G9" s="75"/>
      <c r="H9" s="75"/>
      <c r="I9" s="75"/>
      <c r="J9" s="75" t="s">
        <v>537</v>
      </c>
      <c r="K9" s="76">
        <v>45146</v>
      </c>
    </row>
    <row r="10" spans="2:12" x14ac:dyDescent="0.2">
      <c r="K10" s="28"/>
    </row>
    <row r="11" spans="2:12" s="81" customFormat="1" ht="15" x14ac:dyDescent="0.2">
      <c r="B11" s="77" t="str">
        <f>MEDIÇÃO!A11</f>
        <v xml:space="preserve"> 1 </v>
      </c>
      <c r="C11" s="89" t="str">
        <f>MEDIÇÃO!D11</f>
        <v>ADMINISTRAÇÃO LOCAL</v>
      </c>
      <c r="D11" s="90"/>
      <c r="E11" s="90"/>
      <c r="F11" s="90"/>
      <c r="G11" s="90"/>
      <c r="H11" s="90"/>
      <c r="I11" s="90"/>
      <c r="J11" s="90"/>
      <c r="K11" s="91"/>
    </row>
    <row r="13" spans="2:12" x14ac:dyDescent="0.2">
      <c r="B13" s="29" t="s">
        <v>302</v>
      </c>
      <c r="C13" s="150" t="s">
        <v>303</v>
      </c>
      <c r="D13" s="150"/>
      <c r="E13" s="150"/>
      <c r="F13" s="150"/>
      <c r="G13" s="150"/>
      <c r="H13" s="150"/>
      <c r="I13" s="150"/>
      <c r="J13" s="29" t="s">
        <v>243</v>
      </c>
      <c r="K13" s="29" t="s">
        <v>304</v>
      </c>
    </row>
    <row r="14" spans="2:12" x14ac:dyDescent="0.2">
      <c r="B14" s="83" t="str">
        <f>MEDIÇÃO!A12</f>
        <v xml:space="preserve"> 1.1 </v>
      </c>
      <c r="C14" s="154" t="str">
        <f>MEDIÇÃO!D12</f>
        <v>ENCARREGADO GERAL COM ENCARGOS COMPLEMENTARES</v>
      </c>
      <c r="D14" s="154"/>
      <c r="E14" s="154"/>
      <c r="F14" s="154"/>
      <c r="G14" s="154"/>
      <c r="H14" s="154"/>
      <c r="I14" s="154"/>
      <c r="J14" s="87" t="str">
        <f>MEDIÇÃO!E12</f>
        <v>H</v>
      </c>
      <c r="K14" s="88">
        <f>TRUNC(Tabela4678[[#Totals],[Total]],2)</f>
        <v>176</v>
      </c>
    </row>
    <row r="15" spans="2:12" x14ac:dyDescent="0.2">
      <c r="B15" s="29" t="s">
        <v>0</v>
      </c>
      <c r="C15" s="71" t="s">
        <v>305</v>
      </c>
      <c r="D15" s="29" t="s">
        <v>313</v>
      </c>
      <c r="E15" s="29" t="s">
        <v>314</v>
      </c>
      <c r="F15" s="29" t="s">
        <v>315</v>
      </c>
      <c r="G15" s="29" t="s">
        <v>309</v>
      </c>
      <c r="H15" s="29" t="s">
        <v>310</v>
      </c>
      <c r="I15" s="29" t="s">
        <v>311</v>
      </c>
      <c r="J15" s="29" t="s">
        <v>312</v>
      </c>
      <c r="K15" s="29" t="s">
        <v>6</v>
      </c>
    </row>
    <row r="16" spans="2:12" x14ac:dyDescent="0.2">
      <c r="C16" s="70" t="s">
        <v>316</v>
      </c>
      <c r="D16" s="30">
        <v>8.8000000000000007</v>
      </c>
      <c r="E16" s="30">
        <v>20</v>
      </c>
      <c r="F16" s="30">
        <v>1</v>
      </c>
      <c r="G16" s="30"/>
      <c r="H16" s="30"/>
      <c r="I16" s="30"/>
      <c r="J16" s="30"/>
      <c r="K16" s="30">
        <f>D16*Tabela4678[[#This Row],[dias/mês]]*Tabela4678[[#This Row],[meses]]</f>
        <v>176</v>
      </c>
    </row>
    <row r="17" spans="2:12" x14ac:dyDescent="0.2">
      <c r="B17" s="27" t="s">
        <v>6</v>
      </c>
      <c r="K17" s="28">
        <f>SUBTOTAL(109,Tabela4678[Total])</f>
        <v>176</v>
      </c>
    </row>
    <row r="19" spans="2:12" x14ac:dyDescent="0.2">
      <c r="B19" s="29" t="s">
        <v>302</v>
      </c>
      <c r="C19" s="150" t="s">
        <v>303</v>
      </c>
      <c r="D19" s="150"/>
      <c r="E19" s="150"/>
      <c r="F19" s="150"/>
      <c r="G19" s="150"/>
      <c r="H19" s="150"/>
      <c r="I19" s="150"/>
      <c r="J19" s="29" t="s">
        <v>243</v>
      </c>
      <c r="K19" s="29" t="s">
        <v>304</v>
      </c>
    </row>
    <row r="20" spans="2:12" x14ac:dyDescent="0.2">
      <c r="B20" s="83" t="str">
        <f>MEDIÇÃO!A13</f>
        <v xml:space="preserve"> 1.2 </v>
      </c>
      <c r="C20" s="154" t="str">
        <f>MEDIÇÃO!D13</f>
        <v>ENGENHEIRO CIVIL DE OBRA JUNIOR COM ENCARGOS
COMPLEMENTARES</v>
      </c>
      <c r="D20" s="154"/>
      <c r="E20" s="154"/>
      <c r="F20" s="154"/>
      <c r="G20" s="154"/>
      <c r="H20" s="154"/>
      <c r="I20" s="154"/>
      <c r="J20" s="87" t="str">
        <f>MEDIÇÃO!E13</f>
        <v>H</v>
      </c>
      <c r="K20" s="88">
        <f>TRUNC(Tabela467[[#Totals],[Total]],2)</f>
        <v>80</v>
      </c>
    </row>
    <row r="21" spans="2:12" x14ac:dyDescent="0.2">
      <c r="B21" s="29" t="s">
        <v>0</v>
      </c>
      <c r="C21" s="71" t="s">
        <v>305</v>
      </c>
      <c r="D21" s="29" t="s">
        <v>313</v>
      </c>
      <c r="E21" s="29" t="s">
        <v>314</v>
      </c>
      <c r="F21" s="29" t="s">
        <v>315</v>
      </c>
      <c r="G21" s="29" t="s">
        <v>309</v>
      </c>
      <c r="H21" s="29" t="s">
        <v>310</v>
      </c>
      <c r="I21" s="29" t="s">
        <v>311</v>
      </c>
      <c r="J21" s="29" t="s">
        <v>312</v>
      </c>
      <c r="K21" s="29" t="s">
        <v>6</v>
      </c>
    </row>
    <row r="22" spans="2:12" x14ac:dyDescent="0.2">
      <c r="B22" s="24"/>
      <c r="C22" s="70" t="s">
        <v>316</v>
      </c>
      <c r="D22" s="31">
        <v>4</v>
      </c>
      <c r="E22" s="31">
        <f>5*4</f>
        <v>20</v>
      </c>
      <c r="F22" s="31">
        <v>1</v>
      </c>
      <c r="G22" s="31"/>
      <c r="H22" s="31"/>
      <c r="I22" s="31"/>
      <c r="J22" s="31"/>
      <c r="K22" s="31">
        <f>Tabela467[[#This Row],[horas/dia]]*Tabela467[[#This Row],[dias/mês]]*Tabela467[[#This Row],[meses]]</f>
        <v>80</v>
      </c>
    </row>
    <row r="23" spans="2:12" x14ac:dyDescent="0.2">
      <c r="B23" s="27" t="s">
        <v>6</v>
      </c>
      <c r="K23" s="28">
        <f>SUBTOTAL(109,Tabela467[Total])</f>
        <v>80</v>
      </c>
    </row>
    <row r="24" spans="2:12" x14ac:dyDescent="0.2">
      <c r="K24" s="28"/>
    </row>
    <row r="25" spans="2:12" x14ac:dyDescent="0.2">
      <c r="K25" s="28"/>
    </row>
    <row r="26" spans="2:12" s="82" customFormat="1" ht="15" x14ac:dyDescent="0.25">
      <c r="B26" s="77" t="str">
        <f>MEDIÇÃO!A17</f>
        <v xml:space="preserve"> 3 </v>
      </c>
      <c r="C26" s="92" t="str">
        <f>MEDIÇÃO!D17</f>
        <v>PAREDES, PAINÉIS, DEMOLIÇÕES E ESQUADRIAS</v>
      </c>
      <c r="D26" s="79"/>
      <c r="E26" s="79"/>
      <c r="F26" s="79"/>
      <c r="G26" s="79"/>
      <c r="H26" s="79"/>
      <c r="I26" s="79"/>
      <c r="J26" s="79"/>
      <c r="K26" s="80"/>
      <c r="L26" s="81"/>
    </row>
    <row r="27" spans="2:12" x14ac:dyDescent="0.2">
      <c r="K27" s="28"/>
    </row>
    <row r="28" spans="2:12" x14ac:dyDescent="0.2">
      <c r="B28" s="29" t="s">
        <v>302</v>
      </c>
      <c r="C28" s="150" t="s">
        <v>303</v>
      </c>
      <c r="D28" s="150"/>
      <c r="E28" s="150"/>
      <c r="F28" s="150"/>
      <c r="G28" s="150"/>
      <c r="H28" s="150"/>
      <c r="I28" s="150"/>
      <c r="J28" s="29" t="s">
        <v>243</v>
      </c>
      <c r="K28" s="29" t="s">
        <v>304</v>
      </c>
    </row>
    <row r="29" spans="2:12" x14ac:dyDescent="0.2">
      <c r="B29" s="83" t="str">
        <f>MEDIÇÃO!A19</f>
        <v xml:space="preserve"> 3.2 </v>
      </c>
      <c r="C29" s="152" t="str">
        <f>MEDIÇÃO!D19</f>
        <v>DEMOLIÇÃO DE RODAPÉ CERÂMICO, DE FORMA MANUAL, SEM REAPROVEITAMENTO. AF  12/2017</v>
      </c>
      <c r="D29" s="152"/>
      <c r="E29" s="152"/>
      <c r="F29" s="152"/>
      <c r="G29" s="152"/>
      <c r="H29" s="152"/>
      <c r="I29" s="152"/>
      <c r="J29" s="83" t="str">
        <f>MEDIÇÃO!E19</f>
        <v>M</v>
      </c>
      <c r="K29" s="84">
        <f>TRUNC(Tabela467918[[#Totals],[Total]],2)</f>
        <v>29.16</v>
      </c>
      <c r="L29" s="59" t="s">
        <v>454</v>
      </c>
    </row>
    <row r="30" spans="2:12" x14ac:dyDescent="0.2">
      <c r="B30" s="23" t="s">
        <v>0</v>
      </c>
      <c r="C30" s="69" t="s">
        <v>305</v>
      </c>
      <c r="D30" s="23" t="s">
        <v>318</v>
      </c>
      <c r="E30" s="23" t="s">
        <v>307</v>
      </c>
      <c r="F30" s="23" t="s">
        <v>308</v>
      </c>
      <c r="G30" s="23" t="s">
        <v>309</v>
      </c>
      <c r="H30" s="23" t="s">
        <v>310</v>
      </c>
      <c r="I30" s="23" t="s">
        <v>311</v>
      </c>
      <c r="J30" s="23" t="s">
        <v>312</v>
      </c>
      <c r="K30" s="23" t="s">
        <v>6</v>
      </c>
    </row>
    <row r="31" spans="2:12" x14ac:dyDescent="0.2">
      <c r="B31" s="24"/>
      <c r="C31" s="32" t="s">
        <v>319</v>
      </c>
      <c r="D31" s="26">
        <v>8.25</v>
      </c>
      <c r="E31" s="26"/>
      <c r="F31" s="26"/>
      <c r="G31" s="26"/>
      <c r="H31" s="26"/>
      <c r="I31" s="26"/>
      <c r="J31" s="26"/>
      <c r="K31" s="26">
        <f>D31</f>
        <v>8.25</v>
      </c>
    </row>
    <row r="32" spans="2:12" x14ac:dyDescent="0.2">
      <c r="B32" s="24"/>
      <c r="C32" s="32" t="s">
        <v>320</v>
      </c>
      <c r="D32" s="26">
        <v>6.33</v>
      </c>
      <c r="E32" s="26"/>
      <c r="F32" s="26"/>
      <c r="G32" s="26"/>
      <c r="H32" s="26"/>
      <c r="I32" s="26"/>
      <c r="J32" s="26"/>
      <c r="K32" s="26">
        <f>D32</f>
        <v>6.33</v>
      </c>
    </row>
    <row r="33" spans="2:12" x14ac:dyDescent="0.2">
      <c r="B33" s="24"/>
      <c r="C33" s="32" t="s">
        <v>321</v>
      </c>
      <c r="D33" s="26">
        <v>8.25</v>
      </c>
      <c r="E33" s="26"/>
      <c r="F33" s="26"/>
      <c r="G33" s="26"/>
      <c r="H33" s="26"/>
      <c r="I33" s="26"/>
      <c r="J33" s="26"/>
      <c r="K33" s="26">
        <f>D33</f>
        <v>8.25</v>
      </c>
    </row>
    <row r="34" spans="2:12" x14ac:dyDescent="0.2">
      <c r="B34" s="24"/>
      <c r="C34" s="32" t="s">
        <v>322</v>
      </c>
      <c r="D34" s="26">
        <v>6.33</v>
      </c>
      <c r="E34" s="26"/>
      <c r="F34" s="26"/>
      <c r="G34" s="26"/>
      <c r="H34" s="26"/>
      <c r="I34" s="26"/>
      <c r="J34" s="26"/>
      <c r="K34" s="26">
        <f>D34</f>
        <v>6.33</v>
      </c>
    </row>
    <row r="35" spans="2:12" x14ac:dyDescent="0.2">
      <c r="B35" s="27" t="s">
        <v>6</v>
      </c>
      <c r="K35" s="28">
        <f>SUBTOTAL(109,Tabela467918[Total])</f>
        <v>29.159999999999997</v>
      </c>
    </row>
    <row r="36" spans="2:12" x14ac:dyDescent="0.2">
      <c r="K36" s="28"/>
    </row>
    <row r="37" spans="2:12" x14ac:dyDescent="0.2">
      <c r="B37" s="29" t="s">
        <v>302</v>
      </c>
      <c r="C37" s="150" t="s">
        <v>303</v>
      </c>
      <c r="D37" s="150"/>
      <c r="E37" s="150"/>
      <c r="F37" s="150"/>
      <c r="G37" s="150"/>
      <c r="H37" s="150"/>
      <c r="I37" s="150"/>
      <c r="J37" s="29" t="s">
        <v>243</v>
      </c>
      <c r="K37" s="29" t="s">
        <v>304</v>
      </c>
    </row>
    <row r="38" spans="2:12" x14ac:dyDescent="0.2">
      <c r="B38" s="83" t="str">
        <f>MEDIÇÃO!A21</f>
        <v xml:space="preserve"> 3.4 </v>
      </c>
      <c r="C38" s="152" t="str">
        <f>MEDIÇÃO!D21</f>
        <v>REMOÇÃO DE PORTAS, DE FORMA MANUAL, SEM REAPROVEITAMENTO. AF  12/2017</v>
      </c>
      <c r="D38" s="152"/>
      <c r="E38" s="152"/>
      <c r="F38" s="152"/>
      <c r="G38" s="152"/>
      <c r="H38" s="152"/>
      <c r="I38" s="152"/>
      <c r="J38" s="83" t="str">
        <f>MEDIÇÃO!E21</f>
        <v>m²</v>
      </c>
      <c r="K38" s="84">
        <f>TRUNC(Tabela46792526282991[[#Totals],[Total]],2)</f>
        <v>9.68</v>
      </c>
      <c r="L38" s="59" t="s">
        <v>454</v>
      </c>
    </row>
    <row r="39" spans="2:12" x14ac:dyDescent="0.2">
      <c r="B39" s="23" t="s">
        <v>0</v>
      </c>
      <c r="C39" s="69" t="s">
        <v>305</v>
      </c>
      <c r="D39" s="23" t="s">
        <v>323</v>
      </c>
      <c r="E39" s="23" t="s">
        <v>324</v>
      </c>
      <c r="F39" s="23" t="s">
        <v>308</v>
      </c>
      <c r="G39" s="23" t="s">
        <v>309</v>
      </c>
      <c r="H39" s="23" t="s">
        <v>310</v>
      </c>
      <c r="I39" s="23" t="s">
        <v>311</v>
      </c>
      <c r="J39" s="23" t="s">
        <v>312</v>
      </c>
      <c r="K39" s="23" t="s">
        <v>6</v>
      </c>
    </row>
    <row r="40" spans="2:12" x14ac:dyDescent="0.2">
      <c r="B40" s="24"/>
      <c r="C40" s="32" t="s">
        <v>333</v>
      </c>
      <c r="D40" s="26">
        <v>0.9</v>
      </c>
      <c r="E40" s="26">
        <v>2.2000000000000002</v>
      </c>
      <c r="F40" s="26"/>
      <c r="G40" s="26"/>
      <c r="H40" s="26"/>
      <c r="I40" s="26"/>
      <c r="J40" s="26"/>
      <c r="K40" s="26">
        <f>Tabela46792526282991[[#This Row],[Larg. (m)]]*Tabela46792526282991[[#This Row],[Altura (m)]]</f>
        <v>1.9800000000000002</v>
      </c>
    </row>
    <row r="41" spans="2:12" x14ac:dyDescent="0.2">
      <c r="B41" s="24"/>
      <c r="C41" s="32" t="s">
        <v>334</v>
      </c>
      <c r="D41" s="26">
        <v>0.9</v>
      </c>
      <c r="E41" s="26">
        <v>2.2000000000000002</v>
      </c>
      <c r="F41" s="26"/>
      <c r="G41" s="26"/>
      <c r="H41" s="26"/>
      <c r="I41" s="26"/>
      <c r="J41" s="26"/>
      <c r="K41" s="26">
        <f>Tabela46792526282991[[#This Row],[Larg. (m)]]*Tabela46792526282991[[#This Row],[Altura (m)]]</f>
        <v>1.9800000000000002</v>
      </c>
    </row>
    <row r="42" spans="2:12" x14ac:dyDescent="0.2">
      <c r="B42" s="42"/>
      <c r="C42" s="112" t="s">
        <v>604</v>
      </c>
      <c r="D42" s="115">
        <v>0.9</v>
      </c>
      <c r="E42" s="115">
        <v>2.2000000000000002</v>
      </c>
      <c r="F42" s="43"/>
      <c r="G42" s="43"/>
      <c r="H42" s="43"/>
      <c r="I42" s="43"/>
      <c r="J42" s="43"/>
      <c r="K42" s="113">
        <f>Tabela46792526282991[[#This Row],[Larg. (m)]]*Tabela46792526282991[[#This Row],[Altura (m)]]</f>
        <v>1.9800000000000002</v>
      </c>
    </row>
    <row r="43" spans="2:12" x14ac:dyDescent="0.2">
      <c r="B43" s="42"/>
      <c r="C43" s="112" t="s">
        <v>605</v>
      </c>
      <c r="D43" s="115">
        <v>0.9</v>
      </c>
      <c r="E43" s="115">
        <v>2.2000000000000002</v>
      </c>
      <c r="F43" s="43"/>
      <c r="G43" s="43"/>
      <c r="H43" s="43"/>
      <c r="I43" s="43"/>
      <c r="J43" s="43"/>
      <c r="K43" s="113">
        <f>Tabela46792526282991[[#This Row],[Larg. (m)]]*Tabela46792526282991[[#This Row],[Altura (m)]]</f>
        <v>1.9800000000000002</v>
      </c>
    </row>
    <row r="44" spans="2:12" x14ac:dyDescent="0.2">
      <c r="B44" s="42"/>
      <c r="C44" s="112" t="s">
        <v>606</v>
      </c>
      <c r="D44" s="115">
        <v>0.8</v>
      </c>
      <c r="E44" s="115">
        <v>2.2000000000000002</v>
      </c>
      <c r="F44" s="43"/>
      <c r="G44" s="43"/>
      <c r="H44" s="43"/>
      <c r="I44" s="43"/>
      <c r="J44" s="43"/>
      <c r="K44" s="113">
        <f>Tabela46792526282991[[#This Row],[Larg. (m)]]*Tabela46792526282991[[#This Row],[Altura (m)]]</f>
        <v>1.7600000000000002</v>
      </c>
    </row>
    <row r="45" spans="2:12" x14ac:dyDescent="0.2">
      <c r="B45" s="46" t="s">
        <v>6</v>
      </c>
      <c r="C45" s="72"/>
      <c r="D45" s="47"/>
      <c r="E45" s="47"/>
      <c r="F45" s="47"/>
      <c r="G45" s="47"/>
      <c r="H45" s="47"/>
      <c r="I45" s="47"/>
      <c r="J45" s="47"/>
      <c r="K45" s="48">
        <f>SUBTOTAL(109,Tabela46792526282991[Total])</f>
        <v>9.6800000000000015</v>
      </c>
    </row>
    <row r="46" spans="2:12" x14ac:dyDescent="0.2">
      <c r="K46" s="28"/>
    </row>
    <row r="47" spans="2:12" x14ac:dyDescent="0.2">
      <c r="B47" s="29" t="s">
        <v>302</v>
      </c>
      <c r="C47" s="150" t="s">
        <v>303</v>
      </c>
      <c r="D47" s="150"/>
      <c r="E47" s="150"/>
      <c r="F47" s="150"/>
      <c r="G47" s="150"/>
      <c r="H47" s="150"/>
      <c r="I47" s="150"/>
      <c r="J47" s="29" t="s">
        <v>243</v>
      </c>
      <c r="K47" s="29" t="s">
        <v>304</v>
      </c>
    </row>
    <row r="48" spans="2:12" x14ac:dyDescent="0.2">
      <c r="B48" s="83" t="str">
        <f>MEDIÇÃO!A22</f>
        <v xml:space="preserve"> 3.5 </v>
      </c>
      <c r="C48" s="152" t="str">
        <f>MEDIÇÃO!D22</f>
        <v>REMOÇÃO DE INTERRUPTORES/TOMADAS ELÉTRICAS, DE FORMA MANUAL, SEM REAPROVEITAMENTO. AF  12/2017</v>
      </c>
      <c r="D48" s="152"/>
      <c r="E48" s="152"/>
      <c r="F48" s="152"/>
      <c r="G48" s="152"/>
      <c r="H48" s="152"/>
      <c r="I48" s="152"/>
      <c r="J48" s="83" t="str">
        <f>MEDIÇÃO!E22</f>
        <v>UN</v>
      </c>
      <c r="K48" s="84">
        <f>TRUNC(Tabela467922[[#Totals],[Total]],2)</f>
        <v>44</v>
      </c>
      <c r="L48" s="59" t="s">
        <v>465</v>
      </c>
    </row>
    <row r="49" spans="2:12" x14ac:dyDescent="0.2">
      <c r="B49" s="23" t="s">
        <v>0</v>
      </c>
      <c r="C49" s="69" t="s">
        <v>305</v>
      </c>
      <c r="D49" s="23" t="s">
        <v>5</v>
      </c>
      <c r="E49" s="23" t="s">
        <v>307</v>
      </c>
      <c r="F49" s="23" t="s">
        <v>308</v>
      </c>
      <c r="G49" s="23" t="s">
        <v>309</v>
      </c>
      <c r="H49" s="23" t="s">
        <v>310</v>
      </c>
      <c r="I49" s="23" t="s">
        <v>311</v>
      </c>
      <c r="J49" s="23" t="s">
        <v>312</v>
      </c>
      <c r="K49" s="23" t="s">
        <v>6</v>
      </c>
    </row>
    <row r="50" spans="2:12" x14ac:dyDescent="0.2">
      <c r="B50" s="24"/>
      <c r="C50" s="32" t="s">
        <v>317</v>
      </c>
      <c r="D50" s="26">
        <v>15</v>
      </c>
      <c r="E50" s="26"/>
      <c r="F50" s="26"/>
      <c r="G50" s="26"/>
      <c r="H50" s="26"/>
      <c r="I50" s="26"/>
      <c r="J50" s="26"/>
      <c r="K50" s="26">
        <f t="shared" ref="K50:K55" si="0">D50</f>
        <v>15</v>
      </c>
    </row>
    <row r="51" spans="2:12" x14ac:dyDescent="0.2">
      <c r="B51" s="24"/>
      <c r="C51" s="32" t="s">
        <v>326</v>
      </c>
      <c r="D51" s="26">
        <v>7</v>
      </c>
      <c r="E51" s="26"/>
      <c r="F51" s="26"/>
      <c r="G51" s="26"/>
      <c r="H51" s="26"/>
      <c r="I51" s="26"/>
      <c r="J51" s="26"/>
      <c r="K51" s="26">
        <f t="shared" si="0"/>
        <v>7</v>
      </c>
    </row>
    <row r="52" spans="2:12" x14ac:dyDescent="0.2">
      <c r="B52" s="24"/>
      <c r="C52" s="32" t="s">
        <v>327</v>
      </c>
      <c r="D52" s="26">
        <v>4</v>
      </c>
      <c r="E52" s="26"/>
      <c r="F52" s="26"/>
      <c r="G52" s="26"/>
      <c r="H52" s="26"/>
      <c r="I52" s="26"/>
      <c r="J52" s="26"/>
      <c r="K52" s="26">
        <f t="shared" si="0"/>
        <v>4</v>
      </c>
    </row>
    <row r="53" spans="2:12" x14ac:dyDescent="0.2">
      <c r="B53" s="24"/>
      <c r="C53" s="32" t="s">
        <v>438</v>
      </c>
      <c r="D53" s="44">
        <v>8</v>
      </c>
      <c r="E53" s="44"/>
      <c r="F53" s="44"/>
      <c r="G53" s="44"/>
      <c r="H53" s="44"/>
      <c r="I53" s="44"/>
      <c r="J53" s="44"/>
      <c r="K53" s="44">
        <f t="shared" si="0"/>
        <v>8</v>
      </c>
    </row>
    <row r="54" spans="2:12" x14ac:dyDescent="0.2">
      <c r="B54" s="24"/>
      <c r="C54" s="32" t="s">
        <v>456</v>
      </c>
      <c r="D54" s="44">
        <v>8</v>
      </c>
      <c r="E54" s="44"/>
      <c r="F54" s="44"/>
      <c r="G54" s="44"/>
      <c r="H54" s="44"/>
      <c r="I54" s="44"/>
      <c r="J54" s="44"/>
      <c r="K54" s="44">
        <f t="shared" si="0"/>
        <v>8</v>
      </c>
    </row>
    <row r="55" spans="2:12" x14ac:dyDescent="0.2">
      <c r="B55" s="24"/>
      <c r="C55" s="32" t="s">
        <v>457</v>
      </c>
      <c r="D55" s="44">
        <v>2</v>
      </c>
      <c r="E55" s="44"/>
      <c r="F55" s="44"/>
      <c r="G55" s="44"/>
      <c r="H55" s="44"/>
      <c r="I55" s="44"/>
      <c r="J55" s="44"/>
      <c r="K55" s="44">
        <f t="shared" si="0"/>
        <v>2</v>
      </c>
    </row>
    <row r="56" spans="2:12" x14ac:dyDescent="0.2">
      <c r="B56" s="46" t="s">
        <v>6</v>
      </c>
      <c r="C56" s="72"/>
      <c r="D56" s="47"/>
      <c r="E56" s="47"/>
      <c r="F56" s="47"/>
      <c r="G56" s="47"/>
      <c r="H56" s="47"/>
      <c r="I56" s="47"/>
      <c r="J56" s="47"/>
      <c r="K56" s="48">
        <f>SUBTOTAL(109,Tabela467922[Total])</f>
        <v>44</v>
      </c>
    </row>
    <row r="57" spans="2:12" x14ac:dyDescent="0.2">
      <c r="K57" s="28"/>
    </row>
    <row r="58" spans="2:12" x14ac:dyDescent="0.2">
      <c r="B58" s="29" t="s">
        <v>302</v>
      </c>
      <c r="C58" s="150" t="s">
        <v>303</v>
      </c>
      <c r="D58" s="150"/>
      <c r="E58" s="150"/>
      <c r="F58" s="150"/>
      <c r="G58" s="150"/>
      <c r="H58" s="150"/>
      <c r="I58" s="150"/>
      <c r="J58" s="29" t="s">
        <v>243</v>
      </c>
      <c r="K58" s="29" t="s">
        <v>304</v>
      </c>
    </row>
    <row r="59" spans="2:12" x14ac:dyDescent="0.2">
      <c r="B59" s="83" t="str">
        <f>MEDIÇÃO!A25</f>
        <v xml:space="preserve"> 3.8 </v>
      </c>
      <c r="C59" s="152" t="str">
        <f>MEDIÇÃO!D25</f>
        <v>REMOÇÃO DE CHAPAS E PERFIS DE DRYWALL, DE FORMA MANUAL, SEM REAPROVEITAMENTO. AF  12/2017</v>
      </c>
      <c r="D59" s="152"/>
      <c r="E59" s="152"/>
      <c r="F59" s="152"/>
      <c r="G59" s="152"/>
      <c r="H59" s="152"/>
      <c r="I59" s="152"/>
      <c r="J59" s="83" t="str">
        <f>MEDIÇÃO!E25</f>
        <v>m²</v>
      </c>
      <c r="K59" s="84">
        <f>TRUNC(Tabela467920[[#Totals],[Total]],2)</f>
        <v>4.4000000000000004</v>
      </c>
      <c r="L59" s="59" t="s">
        <v>454</v>
      </c>
    </row>
    <row r="60" spans="2:12" x14ac:dyDescent="0.2">
      <c r="B60" s="23" t="s">
        <v>0</v>
      </c>
      <c r="C60" s="69" t="s">
        <v>305</v>
      </c>
      <c r="D60" s="23" t="s">
        <v>323</v>
      </c>
      <c r="E60" s="23" t="s">
        <v>324</v>
      </c>
      <c r="F60" s="23" t="s">
        <v>389</v>
      </c>
      <c r="G60" s="23" t="s">
        <v>309</v>
      </c>
      <c r="H60" s="23" t="s">
        <v>310</v>
      </c>
      <c r="I60" s="23" t="s">
        <v>311</v>
      </c>
      <c r="J60" s="23" t="s">
        <v>312</v>
      </c>
      <c r="K60" s="23" t="s">
        <v>6</v>
      </c>
    </row>
    <row r="61" spans="2:12" ht="24" x14ac:dyDescent="0.2">
      <c r="B61" s="24"/>
      <c r="C61" s="32" t="s">
        <v>325</v>
      </c>
      <c r="D61" s="26">
        <v>1</v>
      </c>
      <c r="E61" s="26">
        <v>2.2000000000000002</v>
      </c>
      <c r="F61" s="26">
        <v>2</v>
      </c>
      <c r="G61" s="26"/>
      <c r="H61" s="26"/>
      <c r="I61" s="26"/>
      <c r="J61" s="26"/>
      <c r="K61" s="26">
        <f>Tabela467920[Larg. (m)]*Tabela467920[Altura (m)]*Tabela467920[Lados]</f>
        <v>4.4000000000000004</v>
      </c>
    </row>
    <row r="62" spans="2:12" x14ac:dyDescent="0.2">
      <c r="B62" s="27" t="s">
        <v>6</v>
      </c>
      <c r="K62" s="28">
        <f>SUBTOTAL(109,Tabela467920[Total])</f>
        <v>4.4000000000000004</v>
      </c>
    </row>
    <row r="63" spans="2:12" x14ac:dyDescent="0.2">
      <c r="K63" s="28"/>
    </row>
    <row r="64" spans="2:12" x14ac:dyDescent="0.2">
      <c r="B64" s="29" t="s">
        <v>302</v>
      </c>
      <c r="C64" s="150" t="s">
        <v>303</v>
      </c>
      <c r="D64" s="150"/>
      <c r="E64" s="150"/>
      <c r="F64" s="150"/>
      <c r="G64" s="150"/>
      <c r="H64" s="150"/>
      <c r="I64" s="150"/>
      <c r="J64" s="29" t="s">
        <v>243</v>
      </c>
      <c r="K64" s="29" t="s">
        <v>304</v>
      </c>
    </row>
    <row r="65" spans="2:12" x14ac:dyDescent="0.2">
      <c r="B65" s="83" t="str">
        <f>MEDIÇÃO!A26</f>
        <v xml:space="preserve"> 3.9 </v>
      </c>
      <c r="C65" s="152" t="str">
        <f>MEDIÇÃO!D26</f>
        <v>PAREDE COM PLACAS DE GESSO ACARTONADO (DRYWALL), PARA USO INTERNO, COM DUAS FACES SIMPLES E ESTRUTURA METÁLICA COM GUIAS SIMPLES, SEM VÃOS. AF_06/2017_P</v>
      </c>
      <c r="D65" s="152"/>
      <c r="E65" s="152"/>
      <c r="F65" s="152"/>
      <c r="G65" s="152"/>
      <c r="H65" s="152"/>
      <c r="I65" s="152"/>
      <c r="J65" s="83" t="str">
        <f>MEDIÇÃO!E26</f>
        <v>m²</v>
      </c>
      <c r="K65" s="84">
        <f>TRUNC(Tabela46792029[[#Totals],[Total]],2)</f>
        <v>24.53</v>
      </c>
      <c r="L65" s="59" t="s">
        <v>454</v>
      </c>
    </row>
    <row r="66" spans="2:12" x14ac:dyDescent="0.2">
      <c r="B66" s="23" t="s">
        <v>0</v>
      </c>
      <c r="C66" s="69" t="s">
        <v>305</v>
      </c>
      <c r="D66" s="23" t="s">
        <v>323</v>
      </c>
      <c r="E66" s="23" t="s">
        <v>324</v>
      </c>
      <c r="F66" s="23" t="s">
        <v>389</v>
      </c>
      <c r="G66" s="23" t="s">
        <v>309</v>
      </c>
      <c r="H66" s="23" t="s">
        <v>310</v>
      </c>
      <c r="I66" s="23" t="s">
        <v>311</v>
      </c>
      <c r="J66" s="23" t="s">
        <v>312</v>
      </c>
      <c r="K66" s="23" t="s">
        <v>6</v>
      </c>
    </row>
    <row r="67" spans="2:12" ht="24" x14ac:dyDescent="0.2">
      <c r="B67" s="24"/>
      <c r="C67" s="32" t="s">
        <v>506</v>
      </c>
      <c r="D67" s="44">
        <v>1.1499999999999999</v>
      </c>
      <c r="E67" s="44">
        <v>2.2000000000000002</v>
      </c>
      <c r="F67" s="44">
        <v>2</v>
      </c>
      <c r="G67" s="26"/>
      <c r="H67" s="26"/>
      <c r="I67" s="26"/>
      <c r="J67" s="26"/>
      <c r="K67" s="44">
        <f>Tabela46792029[[#This Row],[Larg. (m)]]*Tabela46792029[[#This Row],[Altura (m)]]*Tabela46792029[[#This Row],[Lados]]</f>
        <v>5.0599999999999996</v>
      </c>
    </row>
    <row r="68" spans="2:12" x14ac:dyDescent="0.2">
      <c r="B68" s="24"/>
      <c r="C68" s="32" t="s">
        <v>551</v>
      </c>
      <c r="D68" s="101">
        <v>2.59</v>
      </c>
      <c r="E68" s="101">
        <v>3</v>
      </c>
      <c r="F68" s="101">
        <v>1</v>
      </c>
      <c r="G68" s="25"/>
      <c r="H68" s="25"/>
      <c r="I68" s="25"/>
      <c r="J68" s="25"/>
      <c r="K68" s="101">
        <f>Tabela46792029[[#This Row],[Larg. (m)]]*Tabela46792029[[#This Row],[Altura (m)]]*Tabela46792029[[#This Row],[Lados]]</f>
        <v>7.77</v>
      </c>
    </row>
    <row r="69" spans="2:12" x14ac:dyDescent="0.2">
      <c r="B69" s="24"/>
      <c r="C69" s="32" t="s">
        <v>553</v>
      </c>
      <c r="D69" s="101">
        <v>0.7</v>
      </c>
      <c r="E69" s="101">
        <v>3</v>
      </c>
      <c r="F69" s="101">
        <v>1</v>
      </c>
      <c r="G69" s="25"/>
      <c r="H69" s="25"/>
      <c r="I69" s="25"/>
      <c r="J69" s="25"/>
      <c r="K69" s="101">
        <f>Tabela46792029[[#This Row],[Larg. (m)]]*Tabela46792029[[#This Row],[Altura (m)]]*Tabela46792029[[#This Row],[Lados]]</f>
        <v>2.0999999999999996</v>
      </c>
    </row>
    <row r="70" spans="2:12" x14ac:dyDescent="0.2">
      <c r="B70" s="24"/>
      <c r="C70" s="32" t="s">
        <v>552</v>
      </c>
      <c r="D70" s="101">
        <v>2.5</v>
      </c>
      <c r="E70" s="101">
        <v>3</v>
      </c>
      <c r="F70" s="101">
        <v>1</v>
      </c>
      <c r="G70" s="25"/>
      <c r="H70" s="25"/>
      <c r="I70" s="25"/>
      <c r="J70" s="25"/>
      <c r="K70" s="101">
        <f>Tabela46792029[[#This Row],[Larg. (m)]]*Tabela46792029[[#This Row],[Altura (m)]]*Tabela46792029[[#This Row],[Lados]]</f>
        <v>7.5</v>
      </c>
    </row>
    <row r="71" spans="2:12" x14ac:dyDescent="0.2">
      <c r="B71" s="24"/>
      <c r="C71" s="32" t="s">
        <v>554</v>
      </c>
      <c r="D71" s="101">
        <v>0.7</v>
      </c>
      <c r="E71" s="101">
        <v>3</v>
      </c>
      <c r="F71" s="101">
        <v>1</v>
      </c>
      <c r="G71" s="25"/>
      <c r="H71" s="25"/>
      <c r="I71" s="25"/>
      <c r="J71" s="25"/>
      <c r="K71" s="101">
        <f>Tabela46792029[[#This Row],[Larg. (m)]]*Tabela46792029[[#This Row],[Altura (m)]]*Tabela46792029[[#This Row],[Lados]]</f>
        <v>2.0999999999999996</v>
      </c>
    </row>
    <row r="72" spans="2:12" x14ac:dyDescent="0.2">
      <c r="B72" s="46" t="s">
        <v>6</v>
      </c>
      <c r="C72" s="72"/>
      <c r="D72" s="47"/>
      <c r="E72" s="47"/>
      <c r="F72" s="47"/>
      <c r="G72" s="47"/>
      <c r="H72" s="47"/>
      <c r="I72" s="47"/>
      <c r="J72" s="47"/>
      <c r="K72" s="48">
        <f>SUBTOTAL(109,Tabela46792029[Total])</f>
        <v>24.53</v>
      </c>
    </row>
    <row r="74" spans="2:12" x14ac:dyDescent="0.2">
      <c r="B74" s="29" t="s">
        <v>302</v>
      </c>
      <c r="C74" s="150" t="s">
        <v>303</v>
      </c>
      <c r="D74" s="150"/>
      <c r="E74" s="150"/>
      <c r="F74" s="150"/>
      <c r="G74" s="150"/>
      <c r="H74" s="150"/>
      <c r="I74" s="150"/>
      <c r="J74" s="29" t="s">
        <v>243</v>
      </c>
      <c r="K74" s="29" t="s">
        <v>304</v>
      </c>
    </row>
    <row r="75" spans="2:12" x14ac:dyDescent="0.2">
      <c r="B75" s="83" t="str">
        <f>MEDIÇÃO!A27</f>
        <v xml:space="preserve"> 3.10 </v>
      </c>
      <c r="C75" s="152" t="str">
        <f>MEDIÇÃO!D27</f>
        <v>INSTALAÇÃO DE ISOLAMENTO COM LÃ DE ROCHA EM PAREDES DRYWALL. AF_06/2017</v>
      </c>
      <c r="D75" s="152"/>
      <c r="E75" s="152"/>
      <c r="F75" s="152"/>
      <c r="G75" s="152"/>
      <c r="H75" s="152"/>
      <c r="I75" s="152"/>
      <c r="J75" s="83" t="str">
        <f>MEDIÇÃO!E27</f>
        <v>m²</v>
      </c>
      <c r="K75" s="114">
        <f>TRUNC(Tabela467934[[#Totals],[Total]],2)</f>
        <v>21.12</v>
      </c>
    </row>
    <row r="76" spans="2:12" x14ac:dyDescent="0.2">
      <c r="B76" s="23" t="s">
        <v>0</v>
      </c>
      <c r="C76" s="69" t="s">
        <v>305</v>
      </c>
      <c r="D76" s="23" t="s">
        <v>323</v>
      </c>
      <c r="E76" s="23" t="s">
        <v>324</v>
      </c>
      <c r="F76" s="23" t="s">
        <v>308</v>
      </c>
      <c r="G76" s="23" t="s">
        <v>309</v>
      </c>
      <c r="H76" s="23" t="s">
        <v>310</v>
      </c>
      <c r="I76" s="23" t="s">
        <v>311</v>
      </c>
      <c r="J76" s="23" t="s">
        <v>312</v>
      </c>
      <c r="K76" s="23" t="s">
        <v>6</v>
      </c>
    </row>
    <row r="77" spans="2:12" ht="24" x14ac:dyDescent="0.2">
      <c r="B77" s="24"/>
      <c r="C77" s="139" t="s">
        <v>506</v>
      </c>
      <c r="D77" s="142">
        <v>9.6</v>
      </c>
      <c r="E77" s="142">
        <v>2.2000000000000002</v>
      </c>
      <c r="F77" s="142"/>
      <c r="G77" s="142"/>
      <c r="H77" s="142"/>
      <c r="I77" s="142"/>
      <c r="J77" s="142"/>
      <c r="K77" s="142">
        <f>Tabela467934[[#This Row],[Larg. (m)]]*Tabela467934[[#This Row],[Altura (m)]]</f>
        <v>21.12</v>
      </c>
    </row>
    <row r="78" spans="2:12" x14ac:dyDescent="0.2">
      <c r="B78" s="46" t="s">
        <v>6</v>
      </c>
      <c r="C78" s="72"/>
      <c r="D78" s="47"/>
      <c r="E78" s="47"/>
      <c r="F78" s="47"/>
      <c r="G78" s="47"/>
      <c r="H78" s="47"/>
      <c r="I78" s="47"/>
      <c r="J78" s="47"/>
      <c r="K78" s="48">
        <f>SUBTOTAL(109,Tabela467934[Total])</f>
        <v>21.12</v>
      </c>
    </row>
    <row r="79" spans="2:12" x14ac:dyDescent="0.2">
      <c r="K79" s="28"/>
    </row>
    <row r="80" spans="2:12" x14ac:dyDescent="0.2">
      <c r="B80" s="29" t="s">
        <v>302</v>
      </c>
      <c r="C80" s="150" t="s">
        <v>303</v>
      </c>
      <c r="D80" s="150"/>
      <c r="E80" s="150"/>
      <c r="F80" s="150"/>
      <c r="G80" s="150"/>
      <c r="H80" s="150"/>
      <c r="I80" s="150"/>
      <c r="J80" s="29" t="s">
        <v>243</v>
      </c>
      <c r="K80" s="29" t="s">
        <v>304</v>
      </c>
    </row>
    <row r="81" spans="2:12" x14ac:dyDescent="0.2">
      <c r="B81" s="83" t="str">
        <f>MEDIÇÃO!A29</f>
        <v xml:space="preserve"> 3.12 </v>
      </c>
      <c r="C81" s="152" t="str">
        <f>MEDIÇÃO!D29</f>
        <v>RECOLOCAÇÃO DE FOLHAS DE PORTA DE MADEIRA LEVE OU MÉDIA DE 80CM DE LARGURA, CONSIDERANDO REAPROVEITAMENTO DO MATERIAL. AF 12/2019</v>
      </c>
      <c r="D81" s="152"/>
      <c r="E81" s="152"/>
      <c r="F81" s="152"/>
      <c r="G81" s="152"/>
      <c r="H81" s="152"/>
      <c r="I81" s="152"/>
      <c r="J81" s="83" t="str">
        <f>MEDIÇÃO!E29</f>
        <v>UN</v>
      </c>
      <c r="K81" s="84">
        <f>TRUNC(Tabela46794041163138[[#Totals],[Total]],2)</f>
        <v>1</v>
      </c>
      <c r="L81" s="59" t="s">
        <v>454</v>
      </c>
    </row>
    <row r="82" spans="2:12" x14ac:dyDescent="0.2">
      <c r="B82" s="23" t="s">
        <v>0</v>
      </c>
      <c r="C82" s="69" t="s">
        <v>305</v>
      </c>
      <c r="D82" s="23" t="s">
        <v>5</v>
      </c>
      <c r="E82" s="23" t="s">
        <v>307</v>
      </c>
      <c r="F82" s="23" t="s">
        <v>308</v>
      </c>
      <c r="G82" s="23" t="s">
        <v>309</v>
      </c>
      <c r="H82" s="23" t="s">
        <v>310</v>
      </c>
      <c r="I82" s="23" t="s">
        <v>311</v>
      </c>
      <c r="J82" s="23" t="s">
        <v>312</v>
      </c>
      <c r="K82" s="23" t="s">
        <v>6</v>
      </c>
    </row>
    <row r="83" spans="2:12" x14ac:dyDescent="0.2">
      <c r="B83" s="24"/>
      <c r="C83" s="32" t="s">
        <v>360</v>
      </c>
      <c r="D83" s="26">
        <v>1</v>
      </c>
      <c r="E83" s="26"/>
      <c r="F83" s="26"/>
      <c r="G83" s="26"/>
      <c r="H83" s="26"/>
      <c r="I83" s="26"/>
      <c r="J83" s="26"/>
      <c r="K83" s="26">
        <f>D83</f>
        <v>1</v>
      </c>
    </row>
    <row r="84" spans="2:12" x14ac:dyDescent="0.2">
      <c r="B84" s="27" t="s">
        <v>6</v>
      </c>
      <c r="K84" s="28">
        <f>SUBTOTAL(109,Tabela46794041163138[Total])</f>
        <v>1</v>
      </c>
    </row>
    <row r="85" spans="2:12" x14ac:dyDescent="0.2">
      <c r="B85" s="29" t="s">
        <v>302</v>
      </c>
      <c r="C85" s="150" t="s">
        <v>303</v>
      </c>
      <c r="D85" s="150"/>
      <c r="E85" s="150"/>
      <c r="F85" s="150"/>
      <c r="G85" s="150"/>
      <c r="H85" s="150"/>
      <c r="I85" s="150"/>
      <c r="J85" s="29" t="s">
        <v>243</v>
      </c>
      <c r="K85" s="29" t="s">
        <v>304</v>
      </c>
    </row>
    <row r="86" spans="2:12" x14ac:dyDescent="0.2">
      <c r="B86" s="85" t="str">
        <f>MEDIÇÃO!A34</f>
        <v xml:space="preserve"> 3.17</v>
      </c>
      <c r="C86" s="151" t="str">
        <f>MEDIÇÃO!D34</f>
        <v>RETIRADA PAPEL DE PAREDE</v>
      </c>
      <c r="D86" s="151"/>
      <c r="E86" s="151"/>
      <c r="F86" s="151"/>
      <c r="G86" s="151"/>
      <c r="H86" s="151"/>
      <c r="I86" s="151"/>
      <c r="J86" s="85" t="str">
        <f>MEDIÇÃO!E34</f>
        <v>M²</v>
      </c>
      <c r="K86" s="86">
        <f>TRUNC(Tabela467923[[#Totals],[Total]],2)</f>
        <v>10.5</v>
      </c>
      <c r="L86" s="59" t="s">
        <v>465</v>
      </c>
    </row>
    <row r="87" spans="2:12" x14ac:dyDescent="0.2">
      <c r="B87" s="23" t="s">
        <v>0</v>
      </c>
      <c r="C87" s="69" t="s">
        <v>305</v>
      </c>
      <c r="D87" s="23" t="s">
        <v>323</v>
      </c>
      <c r="E87" s="23" t="s">
        <v>324</v>
      </c>
      <c r="F87" s="23" t="s">
        <v>308</v>
      </c>
      <c r="G87" s="23" t="s">
        <v>309</v>
      </c>
      <c r="H87" s="23" t="s">
        <v>310</v>
      </c>
      <c r="I87" s="23" t="s">
        <v>311</v>
      </c>
      <c r="J87" s="23" t="s">
        <v>312</v>
      </c>
      <c r="K87" s="23" t="s">
        <v>6</v>
      </c>
    </row>
    <row r="88" spans="2:12" x14ac:dyDescent="0.2">
      <c r="B88" s="24"/>
      <c r="C88" s="32" t="s">
        <v>328</v>
      </c>
      <c r="D88" s="26">
        <v>3.5</v>
      </c>
      <c r="E88" s="26">
        <v>3</v>
      </c>
      <c r="F88" s="26"/>
      <c r="G88" s="26"/>
      <c r="H88" s="26"/>
      <c r="I88" s="26"/>
      <c r="J88" s="26"/>
      <c r="K88" s="26">
        <f>Tabela467923[[#This Row],[Larg. (m)]]*Tabela467923[[#This Row],[Altura (m)]]</f>
        <v>10.5</v>
      </c>
    </row>
    <row r="89" spans="2:12" x14ac:dyDescent="0.2">
      <c r="B89" s="27" t="s">
        <v>6</v>
      </c>
      <c r="K89" s="28">
        <f>SUBTOTAL(109,Tabela467923[Total])</f>
        <v>10.5</v>
      </c>
    </row>
    <row r="90" spans="2:12" x14ac:dyDescent="0.2">
      <c r="K90" s="28"/>
    </row>
    <row r="91" spans="2:12" x14ac:dyDescent="0.2">
      <c r="B91" s="29" t="s">
        <v>302</v>
      </c>
      <c r="C91" s="150" t="s">
        <v>303</v>
      </c>
      <c r="D91" s="150"/>
      <c r="E91" s="150"/>
      <c r="F91" s="150"/>
      <c r="G91" s="150"/>
      <c r="H91" s="150"/>
      <c r="I91" s="150"/>
      <c r="J91" s="29" t="s">
        <v>243</v>
      </c>
      <c r="K91" s="29" t="s">
        <v>304</v>
      </c>
    </row>
    <row r="92" spans="2:12" x14ac:dyDescent="0.2">
      <c r="B92" s="85" t="str">
        <f>MEDIÇÃO!A35</f>
        <v xml:space="preserve"> 3.18</v>
      </c>
      <c r="C92" s="151" t="str">
        <f>MEDIÇÃO!D35</f>
        <v>REMOÇÃO DE REVESTIMENTO DE PISO VINÍLICO / CARPETE</v>
      </c>
      <c r="D92" s="151"/>
      <c r="E92" s="151"/>
      <c r="F92" s="151"/>
      <c r="G92" s="151"/>
      <c r="H92" s="151"/>
      <c r="I92" s="151"/>
      <c r="J92" s="85" t="str">
        <f>MEDIÇÃO!E35</f>
        <v>M²</v>
      </c>
      <c r="K92" s="86">
        <f>TRUNC(Tabela467924[[#Totals],[Total]],2)</f>
        <v>62.33</v>
      </c>
      <c r="L92" s="59" t="s">
        <v>465</v>
      </c>
    </row>
    <row r="93" spans="2:12" x14ac:dyDescent="0.2">
      <c r="B93" s="23" t="s">
        <v>0</v>
      </c>
      <c r="C93" s="69" t="s">
        <v>305</v>
      </c>
      <c r="D93" s="23" t="s">
        <v>329</v>
      </c>
      <c r="E93" s="23" t="s">
        <v>323</v>
      </c>
      <c r="F93" s="23" t="s">
        <v>318</v>
      </c>
      <c r="G93" s="23" t="s">
        <v>309</v>
      </c>
      <c r="H93" s="23" t="s">
        <v>310</v>
      </c>
      <c r="I93" s="23" t="s">
        <v>311</v>
      </c>
      <c r="J93" s="23" t="s">
        <v>312</v>
      </c>
      <c r="K93" s="23" t="s">
        <v>6</v>
      </c>
    </row>
    <row r="94" spans="2:12" x14ac:dyDescent="0.2">
      <c r="B94" s="24"/>
      <c r="C94" s="32" t="s">
        <v>330</v>
      </c>
      <c r="D94" s="26">
        <v>1</v>
      </c>
      <c r="E94" s="26">
        <v>3.5</v>
      </c>
      <c r="F94" s="26">
        <v>3.85</v>
      </c>
      <c r="G94" s="26"/>
      <c r="H94" s="26"/>
      <c r="I94" s="26"/>
      <c r="J94" s="26"/>
      <c r="K94" s="26">
        <f>Tabela467924[[#This Row],[Quant. (m)]]*Tabela467924[[#This Row],[Larg. (m)]]*Tabela467924[[#This Row],[Comp. (m)]]</f>
        <v>13.475</v>
      </c>
    </row>
    <row r="95" spans="2:12" x14ac:dyDescent="0.2">
      <c r="B95" s="24"/>
      <c r="C95" s="32" t="s">
        <v>331</v>
      </c>
      <c r="D95" s="26">
        <v>2</v>
      </c>
      <c r="E95" s="26">
        <v>0.1</v>
      </c>
      <c r="F95" s="26">
        <v>3.5</v>
      </c>
      <c r="G95" s="26"/>
      <c r="H95" s="26"/>
      <c r="I95" s="26"/>
      <c r="J95" s="26"/>
      <c r="K95" s="26">
        <f>Tabela467924[[#This Row],[Quant. (m)]]*Tabela467924[[#This Row],[Larg. (m)]]*Tabela467924[[#This Row],[Comp. (m)]]</f>
        <v>0.70000000000000007</v>
      </c>
    </row>
    <row r="96" spans="2:12" x14ac:dyDescent="0.2">
      <c r="B96" s="24"/>
      <c r="C96" s="32" t="s">
        <v>332</v>
      </c>
      <c r="D96" s="26">
        <v>2</v>
      </c>
      <c r="E96" s="26">
        <v>0.1</v>
      </c>
      <c r="F96" s="26">
        <v>3.85</v>
      </c>
      <c r="G96" s="26"/>
      <c r="H96" s="26"/>
      <c r="I96" s="26"/>
      <c r="J96" s="26"/>
      <c r="K96" s="26">
        <f>Tabela467924[[#This Row],[Quant. (m)]]*Tabela467924[[#This Row],[Larg. (m)]]*Tabela467924[[#This Row],[Comp. (m)]]</f>
        <v>0.77</v>
      </c>
    </row>
    <row r="97" spans="2:12" x14ac:dyDescent="0.2">
      <c r="B97" s="24"/>
      <c r="C97" s="32" t="s">
        <v>458</v>
      </c>
      <c r="D97" s="44">
        <v>1</v>
      </c>
      <c r="E97" s="44">
        <v>3.5</v>
      </c>
      <c r="F97" s="44">
        <v>4.2</v>
      </c>
      <c r="G97" s="44"/>
      <c r="H97" s="44"/>
      <c r="I97" s="44"/>
      <c r="J97" s="44"/>
      <c r="K97" s="44">
        <f>Tabela467924[[#This Row],[Quant. (m)]]*Tabela467924[[#This Row],[Larg. (m)]]*Tabela467924[[#This Row],[Comp. (m)]]</f>
        <v>14.700000000000001</v>
      </c>
    </row>
    <row r="98" spans="2:12" x14ac:dyDescent="0.2">
      <c r="B98" s="24"/>
      <c r="C98" s="32" t="s">
        <v>459</v>
      </c>
      <c r="D98" s="44">
        <v>2</v>
      </c>
      <c r="E98" s="44">
        <v>0.1</v>
      </c>
      <c r="F98" s="44">
        <v>3.5</v>
      </c>
      <c r="G98" s="44"/>
      <c r="H98" s="44"/>
      <c r="I98" s="44"/>
      <c r="J98" s="44"/>
      <c r="K98" s="44">
        <f>Tabela467924[[#This Row],[Quant. (m)]]*Tabela467924[[#This Row],[Larg. (m)]]*Tabela467924[[#This Row],[Comp. (m)]]</f>
        <v>0.70000000000000007</v>
      </c>
    </row>
    <row r="99" spans="2:12" x14ac:dyDescent="0.2">
      <c r="B99" s="24"/>
      <c r="C99" s="32" t="s">
        <v>460</v>
      </c>
      <c r="D99" s="44">
        <v>2</v>
      </c>
      <c r="E99" s="44">
        <v>0.1</v>
      </c>
      <c r="F99" s="44">
        <v>4.2</v>
      </c>
      <c r="G99" s="44"/>
      <c r="H99" s="44"/>
      <c r="I99" s="44"/>
      <c r="J99" s="44"/>
      <c r="K99" s="44">
        <f>Tabela467924[[#This Row],[Quant. (m)]]*Tabela467924[[#This Row],[Larg. (m)]]*Tabela467924[[#This Row],[Comp. (m)]]</f>
        <v>0.84000000000000008</v>
      </c>
    </row>
    <row r="100" spans="2:12" x14ac:dyDescent="0.2">
      <c r="B100" s="24"/>
      <c r="C100" s="32" t="s">
        <v>461</v>
      </c>
      <c r="D100" s="44">
        <v>1</v>
      </c>
      <c r="E100" s="44">
        <v>3.9</v>
      </c>
      <c r="F100" s="44">
        <v>6.85</v>
      </c>
      <c r="G100" s="44"/>
      <c r="H100" s="44"/>
      <c r="I100" s="44"/>
      <c r="J100" s="44"/>
      <c r="K100" s="44">
        <f>Tabela467924[[#This Row],[Quant. (m)]]*Tabela467924[[#This Row],[Larg. (m)]]*Tabela467924[[#This Row],[Comp. (m)]]</f>
        <v>26.714999999999996</v>
      </c>
    </row>
    <row r="101" spans="2:12" x14ac:dyDescent="0.2">
      <c r="B101" s="24"/>
      <c r="C101" s="32" t="s">
        <v>462</v>
      </c>
      <c r="D101" s="44">
        <v>2</v>
      </c>
      <c r="E101" s="44">
        <v>0.1</v>
      </c>
      <c r="F101" s="44">
        <v>3.9</v>
      </c>
      <c r="G101" s="44"/>
      <c r="H101" s="44"/>
      <c r="I101" s="44"/>
      <c r="J101" s="44"/>
      <c r="K101" s="44">
        <f>Tabela467924[[#This Row],[Quant. (m)]]*Tabela467924[[#This Row],[Larg. (m)]]*Tabela467924[[#This Row],[Comp. (m)]]</f>
        <v>0.78</v>
      </c>
    </row>
    <row r="102" spans="2:12" x14ac:dyDescent="0.2">
      <c r="B102" s="24"/>
      <c r="C102" s="32" t="s">
        <v>463</v>
      </c>
      <c r="D102" s="44">
        <v>2</v>
      </c>
      <c r="E102" s="44">
        <v>0.1</v>
      </c>
      <c r="F102" s="44">
        <v>6.85</v>
      </c>
      <c r="G102" s="44"/>
      <c r="H102" s="44"/>
      <c r="I102" s="44"/>
      <c r="J102" s="44"/>
      <c r="K102" s="44">
        <f>Tabela467924[[#This Row],[Quant. (m)]]*Tabela467924[[#This Row],[Larg. (m)]]*Tabela467924[[#This Row],[Comp. (m)]]</f>
        <v>1.37</v>
      </c>
    </row>
    <row r="103" spans="2:12" x14ac:dyDescent="0.2">
      <c r="B103" s="24"/>
      <c r="C103" s="32" t="s">
        <v>464</v>
      </c>
      <c r="D103" s="44">
        <v>1</v>
      </c>
      <c r="E103" s="44">
        <v>1.35</v>
      </c>
      <c r="F103" s="44">
        <v>1.3</v>
      </c>
      <c r="G103" s="44"/>
      <c r="H103" s="44"/>
      <c r="I103" s="44"/>
      <c r="J103" s="44"/>
      <c r="K103" s="44">
        <f>Tabela467924[[#This Row],[Quant. (m)]]*Tabela467924[[#This Row],[Larg. (m)]]*Tabela467924[[#This Row],[Comp. (m)]]</f>
        <v>1.7550000000000001</v>
      </c>
    </row>
    <row r="104" spans="2:12" x14ac:dyDescent="0.2">
      <c r="B104" s="24"/>
      <c r="C104" s="32" t="s">
        <v>463</v>
      </c>
      <c r="D104" s="44">
        <v>2</v>
      </c>
      <c r="E104" s="44">
        <v>0.1</v>
      </c>
      <c r="F104" s="44">
        <v>1.35</v>
      </c>
      <c r="G104" s="44"/>
      <c r="H104" s="44"/>
      <c r="I104" s="44"/>
      <c r="J104" s="44"/>
      <c r="K104" s="44">
        <f>Tabela467924[[#This Row],[Quant. (m)]]*Tabela467924[[#This Row],[Larg. (m)]]*Tabela467924[[#This Row],[Comp. (m)]]</f>
        <v>0.27</v>
      </c>
    </row>
    <row r="105" spans="2:12" x14ac:dyDescent="0.2">
      <c r="B105" s="24"/>
      <c r="C105" s="32" t="s">
        <v>463</v>
      </c>
      <c r="D105" s="44">
        <v>2</v>
      </c>
      <c r="E105" s="44">
        <v>0.1</v>
      </c>
      <c r="F105" s="44">
        <v>1.3</v>
      </c>
      <c r="G105" s="44"/>
      <c r="H105" s="44"/>
      <c r="I105" s="44"/>
      <c r="J105" s="44"/>
      <c r="K105" s="44">
        <f>Tabela467924[[#This Row],[Quant. (m)]]*Tabela467924[[#This Row],[Larg. (m)]]*Tabela467924[[#This Row],[Comp. (m)]]</f>
        <v>0.26</v>
      </c>
    </row>
    <row r="106" spans="2:12" x14ac:dyDescent="0.2">
      <c r="B106" s="46" t="s">
        <v>6</v>
      </c>
      <c r="C106" s="72"/>
      <c r="D106" s="47"/>
      <c r="E106" s="47"/>
      <c r="F106" s="47"/>
      <c r="G106" s="47"/>
      <c r="H106" s="47"/>
      <c r="I106" s="47"/>
      <c r="J106" s="47"/>
      <c r="K106" s="48">
        <f>SUBTOTAL(109,Tabela467924[Total])</f>
        <v>62.334999999999994</v>
      </c>
    </row>
    <row r="107" spans="2:12" x14ac:dyDescent="0.2">
      <c r="K107" s="28"/>
    </row>
    <row r="108" spans="2:12" x14ac:dyDescent="0.2">
      <c r="B108" s="29" t="s">
        <v>302</v>
      </c>
      <c r="C108" s="150" t="s">
        <v>303</v>
      </c>
      <c r="D108" s="150"/>
      <c r="E108" s="150"/>
      <c r="F108" s="150"/>
      <c r="G108" s="150"/>
      <c r="H108" s="150"/>
      <c r="I108" s="150"/>
      <c r="J108" s="29" t="s">
        <v>243</v>
      </c>
      <c r="K108" s="29" t="s">
        <v>304</v>
      </c>
    </row>
    <row r="109" spans="2:12" x14ac:dyDescent="0.2">
      <c r="B109" s="85" t="str">
        <f>MEDIÇÃO!A36</f>
        <v xml:space="preserve"> 3.19</v>
      </c>
      <c r="C109" s="151" t="str">
        <f>MEDIÇÃO!D36</f>
        <v>REMOÇÃO DE SOLEIRA DE MÁRMORE OU GRANITO</v>
      </c>
      <c r="D109" s="151"/>
      <c r="E109" s="151"/>
      <c r="F109" s="151"/>
      <c r="G109" s="151"/>
      <c r="H109" s="151"/>
      <c r="I109" s="151"/>
      <c r="J109" s="85" t="str">
        <f>MEDIÇÃO!E36</f>
        <v>M</v>
      </c>
      <c r="K109" s="86">
        <f>TRUNC(Tabela467925[[#Totals],[Total]],2)</f>
        <v>0.9</v>
      </c>
      <c r="L109" s="59" t="s">
        <v>454</v>
      </c>
    </row>
    <row r="110" spans="2:12" x14ac:dyDescent="0.2">
      <c r="B110" s="23" t="s">
        <v>0</v>
      </c>
      <c r="C110" s="69" t="s">
        <v>305</v>
      </c>
      <c r="D110" s="23" t="s">
        <v>318</v>
      </c>
      <c r="E110" s="23" t="s">
        <v>307</v>
      </c>
      <c r="F110" s="23" t="s">
        <v>308</v>
      </c>
      <c r="G110" s="23" t="s">
        <v>309</v>
      </c>
      <c r="H110" s="23" t="s">
        <v>310</v>
      </c>
      <c r="I110" s="23" t="s">
        <v>311</v>
      </c>
      <c r="J110" s="23" t="s">
        <v>312</v>
      </c>
      <c r="K110" s="23" t="s">
        <v>6</v>
      </c>
    </row>
    <row r="111" spans="2:12" x14ac:dyDescent="0.2">
      <c r="B111" s="24"/>
      <c r="C111" s="32" t="s">
        <v>333</v>
      </c>
      <c r="D111" s="26">
        <v>0.9</v>
      </c>
      <c r="E111" s="26"/>
      <c r="F111" s="26"/>
      <c r="G111" s="26"/>
      <c r="H111" s="26"/>
      <c r="I111" s="26"/>
      <c r="J111" s="26"/>
      <c r="K111" s="26">
        <f>D111</f>
        <v>0.9</v>
      </c>
    </row>
    <row r="112" spans="2:12" x14ac:dyDescent="0.2">
      <c r="B112" s="27" t="s">
        <v>6</v>
      </c>
      <c r="K112" s="28">
        <f>SUBTOTAL(109,Tabela467925[Total])</f>
        <v>0.9</v>
      </c>
    </row>
    <row r="113" spans="1:14" x14ac:dyDescent="0.2">
      <c r="K113" s="28"/>
      <c r="N113" s="28"/>
    </row>
    <row r="114" spans="1:14" x14ac:dyDescent="0.2">
      <c r="B114" s="29" t="s">
        <v>302</v>
      </c>
      <c r="C114" s="150" t="s">
        <v>303</v>
      </c>
      <c r="D114" s="150"/>
      <c r="E114" s="150"/>
      <c r="F114" s="150"/>
      <c r="G114" s="150"/>
      <c r="H114" s="150"/>
      <c r="I114" s="150"/>
      <c r="J114" s="29" t="s">
        <v>243</v>
      </c>
      <c r="K114" s="29" t="s">
        <v>304</v>
      </c>
    </row>
    <row r="115" spans="1:14" x14ac:dyDescent="0.2">
      <c r="B115" s="85" t="str">
        <f>MEDIÇÃO!A37</f>
        <v xml:space="preserve"> 3.20</v>
      </c>
      <c r="C115" s="151" t="str">
        <f>MEDIÇÃO!D37</f>
        <v>PORTA DE CORRER EM MDF BRANCO COM PUXADOR TIPO CAVA</v>
      </c>
      <c r="D115" s="151"/>
      <c r="E115" s="151"/>
      <c r="F115" s="151"/>
      <c r="G115" s="151"/>
      <c r="H115" s="151"/>
      <c r="I115" s="151"/>
      <c r="J115" s="85" t="str">
        <f>MEDIÇÃO!E37</f>
        <v>UND</v>
      </c>
      <c r="K115" s="86">
        <f>TRUNC(Tabela4679404116[[#Totals],[Total]],2)</f>
        <v>1</v>
      </c>
      <c r="L115" s="59" t="s">
        <v>465</v>
      </c>
    </row>
    <row r="116" spans="1:14" x14ac:dyDescent="0.2">
      <c r="B116" s="23" t="s">
        <v>0</v>
      </c>
      <c r="C116" s="69" t="s">
        <v>305</v>
      </c>
      <c r="D116" s="23" t="s">
        <v>5</v>
      </c>
      <c r="E116" s="23" t="s">
        <v>307</v>
      </c>
      <c r="F116" s="23" t="s">
        <v>308</v>
      </c>
      <c r="G116" s="23" t="s">
        <v>309</v>
      </c>
      <c r="H116" s="23" t="s">
        <v>310</v>
      </c>
      <c r="I116" s="23" t="s">
        <v>311</v>
      </c>
      <c r="J116" s="23" t="s">
        <v>312</v>
      </c>
      <c r="K116" s="23" t="s">
        <v>6</v>
      </c>
    </row>
    <row r="117" spans="1:14" x14ac:dyDescent="0.2">
      <c r="B117" s="24"/>
      <c r="C117" s="32" t="s">
        <v>359</v>
      </c>
      <c r="D117" s="26">
        <v>1</v>
      </c>
      <c r="E117" s="26"/>
      <c r="F117" s="26"/>
      <c r="G117" s="26"/>
      <c r="H117" s="26"/>
      <c r="I117" s="26"/>
      <c r="J117" s="26"/>
      <c r="K117" s="26">
        <f>Tabela4679404116[[#This Row],[Quant.]]</f>
        <v>1</v>
      </c>
    </row>
    <row r="118" spans="1:14" x14ac:dyDescent="0.2">
      <c r="B118" s="27" t="s">
        <v>6</v>
      </c>
      <c r="K118" s="28">
        <f>SUBTOTAL(109,Tabela4679404116[Total])</f>
        <v>1</v>
      </c>
    </row>
    <row r="119" spans="1:14" x14ac:dyDescent="0.2">
      <c r="K119" s="28"/>
    </row>
    <row r="120" spans="1:14" x14ac:dyDescent="0.2">
      <c r="B120" s="29" t="s">
        <v>302</v>
      </c>
      <c r="C120" s="150" t="s">
        <v>303</v>
      </c>
      <c r="D120" s="150"/>
      <c r="E120" s="150"/>
      <c r="F120" s="150"/>
      <c r="G120" s="150"/>
      <c r="H120" s="150"/>
      <c r="I120" s="150"/>
      <c r="J120" s="29" t="s">
        <v>243</v>
      </c>
      <c r="K120" s="29" t="s">
        <v>304</v>
      </c>
    </row>
    <row r="121" spans="1:14" s="82" customFormat="1" ht="15" x14ac:dyDescent="0.25">
      <c r="A121" s="20"/>
      <c r="B121" s="85" t="str">
        <f>MEDIÇÃO!A38</f>
        <v xml:space="preserve"> 3.21</v>
      </c>
      <c r="C121" s="151" t="str">
        <f>MEDIÇÃO!D38</f>
        <v>REMOÇÃO E REMONTAGEM DE DIFUSOR DE DUTOS DE AR-CONDICIONADO</v>
      </c>
      <c r="D121" s="151"/>
      <c r="E121" s="151"/>
      <c r="F121" s="151"/>
      <c r="G121" s="151"/>
      <c r="H121" s="151"/>
      <c r="I121" s="151"/>
      <c r="J121" s="85" t="str">
        <f>MEDIÇÃO!E45</f>
        <v>M2</v>
      </c>
      <c r="K121" s="86">
        <f>TRUNC(Tabela46794041163124[[#Totals],[Total]],2)</f>
        <v>8</v>
      </c>
      <c r="L121" s="59" t="s">
        <v>465</v>
      </c>
    </row>
    <row r="122" spans="1:14" x14ac:dyDescent="0.2">
      <c r="B122" s="23" t="s">
        <v>0</v>
      </c>
      <c r="C122" s="69" t="s">
        <v>305</v>
      </c>
      <c r="D122" s="23" t="s">
        <v>5</v>
      </c>
      <c r="E122" s="23" t="s">
        <v>307</v>
      </c>
      <c r="F122" s="23" t="s">
        <v>308</v>
      </c>
      <c r="G122" s="23" t="s">
        <v>309</v>
      </c>
      <c r="H122" s="23" t="s">
        <v>310</v>
      </c>
      <c r="I122" s="23" t="s">
        <v>311</v>
      </c>
      <c r="J122" s="23" t="s">
        <v>312</v>
      </c>
      <c r="K122" s="23" t="s">
        <v>6</v>
      </c>
    </row>
    <row r="123" spans="1:14" x14ac:dyDescent="0.2">
      <c r="B123" s="24"/>
      <c r="C123" s="32" t="s">
        <v>317</v>
      </c>
      <c r="D123" s="26">
        <v>6</v>
      </c>
      <c r="E123" s="26"/>
      <c r="F123" s="26"/>
      <c r="G123" s="26"/>
      <c r="H123" s="26"/>
      <c r="I123" s="26"/>
      <c r="J123" s="26"/>
      <c r="K123" s="26">
        <f>D123</f>
        <v>6</v>
      </c>
    </row>
    <row r="124" spans="1:14" x14ac:dyDescent="0.2">
      <c r="B124" s="24"/>
      <c r="C124" s="32" t="s">
        <v>326</v>
      </c>
      <c r="D124" s="44">
        <v>2</v>
      </c>
      <c r="E124" s="44"/>
      <c r="F124" s="44"/>
      <c r="G124" s="44"/>
      <c r="H124" s="44"/>
      <c r="I124" s="44"/>
      <c r="J124" s="44"/>
      <c r="K124" s="44">
        <f>D124</f>
        <v>2</v>
      </c>
    </row>
    <row r="125" spans="1:14" x14ac:dyDescent="0.2">
      <c r="B125" s="46" t="s">
        <v>6</v>
      </c>
      <c r="C125" s="72"/>
      <c r="D125" s="47"/>
      <c r="E125" s="47"/>
      <c r="F125" s="47"/>
      <c r="G125" s="47"/>
      <c r="H125" s="47"/>
      <c r="I125" s="47"/>
      <c r="J125" s="47"/>
      <c r="K125" s="48">
        <f>SUBTOTAL(109,Tabela46794041163124[Total])</f>
        <v>8</v>
      </c>
    </row>
    <row r="126" spans="1:14" x14ac:dyDescent="0.2">
      <c r="K126" s="28"/>
    </row>
    <row r="127" spans="1:14" x14ac:dyDescent="0.2">
      <c r="B127" s="29" t="s">
        <v>302</v>
      </c>
      <c r="C127" s="150" t="s">
        <v>303</v>
      </c>
      <c r="D127" s="150"/>
      <c r="E127" s="150"/>
      <c r="F127" s="150"/>
      <c r="G127" s="150"/>
      <c r="H127" s="150"/>
      <c r="I127" s="150"/>
      <c r="J127" s="29" t="s">
        <v>243</v>
      </c>
      <c r="K127" s="29" t="s">
        <v>304</v>
      </c>
    </row>
    <row r="128" spans="1:14" s="82" customFormat="1" ht="15" x14ac:dyDescent="0.25">
      <c r="A128" s="20"/>
      <c r="B128" s="85" t="str">
        <f>MEDIÇÃO!A39</f>
        <v xml:space="preserve"> 3.22</v>
      </c>
      <c r="C128" s="151" t="str">
        <f>MEDIÇÃO!D39</f>
        <v>PORTA DE CORRER 4 FOLHAS COM BANDEIRAS, EM VIDRO COM PELÍCULA JATEADA E ALUMÍNIO BRANCO - 2,92X3,00M - FORNECIMENTO E INSTALAÇÃO</v>
      </c>
      <c r="D128" s="151"/>
      <c r="E128" s="151"/>
      <c r="F128" s="151"/>
      <c r="G128" s="151"/>
      <c r="H128" s="151"/>
      <c r="I128" s="151"/>
      <c r="J128" s="85" t="str">
        <f>MEDIÇÃO!E39</f>
        <v>UND</v>
      </c>
      <c r="K128" s="86">
        <f>TRUNC(Tabela467940411631242655[[#Totals],[Total]],2)</f>
        <v>1</v>
      </c>
      <c r="L128" s="59" t="s">
        <v>465</v>
      </c>
    </row>
    <row r="129" spans="1:12" x14ac:dyDescent="0.2">
      <c r="B129" s="23" t="s">
        <v>0</v>
      </c>
      <c r="C129" s="69" t="s">
        <v>305</v>
      </c>
      <c r="D129" s="23" t="s">
        <v>5</v>
      </c>
      <c r="E129" s="23" t="s">
        <v>307</v>
      </c>
      <c r="F129" s="23" t="s">
        <v>308</v>
      </c>
      <c r="G129" s="23" t="s">
        <v>309</v>
      </c>
      <c r="H129" s="23" t="s">
        <v>310</v>
      </c>
      <c r="I129" s="23" t="s">
        <v>311</v>
      </c>
      <c r="J129" s="23" t="s">
        <v>312</v>
      </c>
      <c r="K129" s="23" t="s">
        <v>6</v>
      </c>
    </row>
    <row r="130" spans="1:12" x14ac:dyDescent="0.2">
      <c r="B130" s="24"/>
      <c r="C130" s="32" t="s">
        <v>670</v>
      </c>
      <c r="D130" s="26">
        <v>1</v>
      </c>
      <c r="E130" s="26"/>
      <c r="F130" s="26"/>
      <c r="G130" s="26"/>
      <c r="H130" s="26"/>
      <c r="I130" s="26"/>
      <c r="J130" s="26"/>
      <c r="K130" s="26">
        <f>D130</f>
        <v>1</v>
      </c>
    </row>
    <row r="131" spans="1:12" x14ac:dyDescent="0.2">
      <c r="B131" s="46" t="s">
        <v>6</v>
      </c>
      <c r="C131" s="72"/>
      <c r="D131" s="47"/>
      <c r="E131" s="47"/>
      <c r="F131" s="47"/>
      <c r="G131" s="47"/>
      <c r="H131" s="47"/>
      <c r="I131" s="47"/>
      <c r="J131" s="47"/>
      <c r="K131" s="48">
        <f>SUBTOTAL(109,Tabela467940411631242655[Total])</f>
        <v>1</v>
      </c>
    </row>
    <row r="132" spans="1:12" x14ac:dyDescent="0.2">
      <c r="K132" s="28"/>
    </row>
    <row r="133" spans="1:12" x14ac:dyDescent="0.2">
      <c r="B133" s="29" t="s">
        <v>302</v>
      </c>
      <c r="C133" s="150" t="s">
        <v>303</v>
      </c>
      <c r="D133" s="150"/>
      <c r="E133" s="150"/>
      <c r="F133" s="150"/>
      <c r="G133" s="150"/>
      <c r="H133" s="150"/>
      <c r="I133" s="150"/>
      <c r="J133" s="29" t="s">
        <v>243</v>
      </c>
      <c r="K133" s="29" t="s">
        <v>304</v>
      </c>
    </row>
    <row r="134" spans="1:12" s="82" customFormat="1" ht="15" x14ac:dyDescent="0.25">
      <c r="A134" s="20"/>
      <c r="B134" s="85" t="str">
        <f>MEDIÇÃO!A40</f>
        <v xml:space="preserve"> 3.23</v>
      </c>
      <c r="C134" s="151" t="str">
        <f>MEDIÇÃO!D40</f>
        <v>PORTA PIVOTANTE COM BANDEIRA, EM VIDRO COM PELÍCULA JATEADA E ALUMÍNIO BRANCO - 0,72X3,00M - FORNECIMENTO E INSTALAÇÃO</v>
      </c>
      <c r="D134" s="151"/>
      <c r="E134" s="151"/>
      <c r="F134" s="151"/>
      <c r="G134" s="151"/>
      <c r="H134" s="151"/>
      <c r="I134" s="151"/>
      <c r="J134" s="85" t="str">
        <f>MEDIÇÃO!E40</f>
        <v>UND</v>
      </c>
      <c r="K134" s="86">
        <f>TRUNC(Tabela4679404116312426[[#Totals],[Total]],2)</f>
        <v>1</v>
      </c>
      <c r="L134" s="59" t="s">
        <v>465</v>
      </c>
    </row>
    <row r="135" spans="1:12" x14ac:dyDescent="0.2">
      <c r="B135" s="23" t="s">
        <v>0</v>
      </c>
      <c r="C135" s="69" t="s">
        <v>305</v>
      </c>
      <c r="D135" s="23" t="s">
        <v>5</v>
      </c>
      <c r="E135" s="23" t="s">
        <v>307</v>
      </c>
      <c r="F135" s="23" t="s">
        <v>308</v>
      </c>
      <c r="G135" s="23" t="s">
        <v>309</v>
      </c>
      <c r="H135" s="23" t="s">
        <v>310</v>
      </c>
      <c r="I135" s="23" t="s">
        <v>311</v>
      </c>
      <c r="J135" s="23" t="s">
        <v>312</v>
      </c>
      <c r="K135" s="23" t="s">
        <v>6</v>
      </c>
    </row>
    <row r="136" spans="1:12" x14ac:dyDescent="0.2">
      <c r="B136" s="24"/>
      <c r="C136" s="32" t="s">
        <v>670</v>
      </c>
      <c r="D136" s="26">
        <v>1</v>
      </c>
      <c r="E136" s="26"/>
      <c r="F136" s="26"/>
      <c r="G136" s="26"/>
      <c r="H136" s="26"/>
      <c r="I136" s="26"/>
      <c r="J136" s="26"/>
      <c r="K136" s="26">
        <f>D136</f>
        <v>1</v>
      </c>
    </row>
    <row r="137" spans="1:12" x14ac:dyDescent="0.2">
      <c r="B137" s="46" t="s">
        <v>6</v>
      </c>
      <c r="C137" s="72"/>
      <c r="D137" s="47"/>
      <c r="E137" s="47"/>
      <c r="F137" s="47"/>
      <c r="G137" s="47"/>
      <c r="H137" s="47"/>
      <c r="I137" s="47"/>
      <c r="J137" s="47"/>
      <c r="K137" s="48">
        <f>SUBTOTAL(109,Tabela4679404116312426[Total])</f>
        <v>1</v>
      </c>
    </row>
    <row r="138" spans="1:12" x14ac:dyDescent="0.2">
      <c r="K138" s="28"/>
    </row>
    <row r="139" spans="1:12" x14ac:dyDescent="0.2">
      <c r="B139" s="29" t="s">
        <v>302</v>
      </c>
      <c r="C139" s="150" t="s">
        <v>303</v>
      </c>
      <c r="D139" s="150"/>
      <c r="E139" s="150"/>
      <c r="F139" s="150"/>
      <c r="G139" s="150"/>
      <c r="H139" s="150"/>
      <c r="I139" s="150"/>
      <c r="J139" s="29" t="s">
        <v>243</v>
      </c>
      <c r="K139" s="29" t="s">
        <v>304</v>
      </c>
    </row>
    <row r="140" spans="1:12" s="82" customFormat="1" ht="15" x14ac:dyDescent="0.25">
      <c r="A140" s="20"/>
      <c r="B140" s="85" t="str">
        <f>MEDIÇÃO!A41</f>
        <v xml:space="preserve"> 3.24</v>
      </c>
      <c r="C140" s="151" t="str">
        <f>MEDIÇÃO!D41</f>
        <v>PORTA PINUS BRANCA DE ABRIR, 70/80CM, COMPLETA COM BATENTE, VISTAS, DOBRADIÇAS E FECHADURA - FORNECIMENTO E INSTALAÇÃO</v>
      </c>
      <c r="D140" s="151"/>
      <c r="E140" s="151"/>
      <c r="F140" s="151"/>
      <c r="G140" s="151"/>
      <c r="H140" s="151"/>
      <c r="I140" s="151"/>
      <c r="J140" s="85" t="str">
        <f>MEDIÇÃO!E41</f>
        <v>UND</v>
      </c>
      <c r="K140" s="86">
        <f>TRUNC(Tabela467940411631242654[[#Totals],[Total]],2)</f>
        <v>3</v>
      </c>
      <c r="L140" s="59" t="s">
        <v>465</v>
      </c>
    </row>
    <row r="141" spans="1:12" x14ac:dyDescent="0.2">
      <c r="B141" s="23" t="s">
        <v>0</v>
      </c>
      <c r="C141" s="69" t="s">
        <v>305</v>
      </c>
      <c r="D141" s="23" t="s">
        <v>5</v>
      </c>
      <c r="E141" s="23" t="s">
        <v>307</v>
      </c>
      <c r="F141" s="23" t="s">
        <v>308</v>
      </c>
      <c r="G141" s="23" t="s">
        <v>309</v>
      </c>
      <c r="H141" s="23" t="s">
        <v>310</v>
      </c>
      <c r="I141" s="23" t="s">
        <v>311</v>
      </c>
      <c r="J141" s="23" t="s">
        <v>312</v>
      </c>
      <c r="K141" s="23" t="s">
        <v>6</v>
      </c>
    </row>
    <row r="142" spans="1:12" x14ac:dyDescent="0.2">
      <c r="B142" s="24"/>
      <c r="C142" s="32" t="s">
        <v>671</v>
      </c>
      <c r="D142" s="26">
        <v>1</v>
      </c>
      <c r="E142" s="26"/>
      <c r="F142" s="26"/>
      <c r="G142" s="26"/>
      <c r="H142" s="26"/>
      <c r="I142" s="26"/>
      <c r="J142" s="26"/>
      <c r="K142" s="26">
        <f>D142</f>
        <v>1</v>
      </c>
    </row>
    <row r="143" spans="1:12" x14ac:dyDescent="0.2">
      <c r="B143" s="24"/>
      <c r="C143" s="32" t="s">
        <v>672</v>
      </c>
      <c r="D143" s="44">
        <v>1</v>
      </c>
      <c r="E143" s="44"/>
      <c r="F143" s="44"/>
      <c r="G143" s="44"/>
      <c r="H143" s="44"/>
      <c r="I143" s="44"/>
      <c r="J143" s="44"/>
      <c r="K143" s="44">
        <f>D143</f>
        <v>1</v>
      </c>
    </row>
    <row r="144" spans="1:12" x14ac:dyDescent="0.2">
      <c r="B144" s="24"/>
      <c r="C144" s="32" t="s">
        <v>673</v>
      </c>
      <c r="D144" s="44">
        <v>1</v>
      </c>
      <c r="E144" s="44"/>
      <c r="F144" s="44"/>
      <c r="G144" s="44"/>
      <c r="H144" s="44"/>
      <c r="I144" s="44"/>
      <c r="J144" s="44"/>
      <c r="K144" s="44">
        <f>D144</f>
        <v>1</v>
      </c>
    </row>
    <row r="145" spans="1:12" x14ac:dyDescent="0.2">
      <c r="B145" s="46" t="s">
        <v>6</v>
      </c>
      <c r="C145" s="72"/>
      <c r="D145" s="47"/>
      <c r="E145" s="47"/>
      <c r="F145" s="47"/>
      <c r="G145" s="47"/>
      <c r="H145" s="47"/>
      <c r="I145" s="47"/>
      <c r="J145" s="47"/>
      <c r="K145" s="48">
        <f>SUBTOTAL(109,Tabela467940411631242654[Total])</f>
        <v>3</v>
      </c>
    </row>
    <row r="146" spans="1:12" x14ac:dyDescent="0.2">
      <c r="K146" s="28"/>
    </row>
    <row r="147" spans="1:12" x14ac:dyDescent="0.2">
      <c r="K147" s="28"/>
    </row>
    <row r="148" spans="1:12" ht="15" x14ac:dyDescent="0.25">
      <c r="A148" s="82"/>
      <c r="B148" s="77" t="str">
        <f>MEDIÇÃO!A47</f>
        <v xml:space="preserve"> 4 </v>
      </c>
      <c r="C148" s="78" t="str">
        <f>MEDIÇÃO!D47</f>
        <v>FORROS</v>
      </c>
      <c r="D148" s="79"/>
      <c r="E148" s="79"/>
      <c r="F148" s="79"/>
      <c r="G148" s="79"/>
      <c r="H148" s="79"/>
      <c r="I148" s="79"/>
      <c r="J148" s="79"/>
      <c r="K148" s="80"/>
      <c r="L148" s="81"/>
    </row>
    <row r="149" spans="1:12" x14ac:dyDescent="0.2">
      <c r="K149" s="28"/>
    </row>
    <row r="150" spans="1:12" x14ac:dyDescent="0.2">
      <c r="B150" s="29" t="s">
        <v>302</v>
      </c>
      <c r="C150" s="150" t="s">
        <v>303</v>
      </c>
      <c r="D150" s="150"/>
      <c r="E150" s="150"/>
      <c r="F150" s="150"/>
      <c r="G150" s="150"/>
      <c r="H150" s="150"/>
      <c r="I150" s="150"/>
      <c r="J150" s="29" t="s">
        <v>243</v>
      </c>
      <c r="K150" s="29" t="s">
        <v>304</v>
      </c>
    </row>
    <row r="151" spans="1:12" x14ac:dyDescent="0.2">
      <c r="B151" s="83" t="str">
        <f>MEDIÇÃO!A48</f>
        <v xml:space="preserve"> 4.1 </v>
      </c>
      <c r="C151" s="152" t="str">
        <f>MEDIÇÃO!D48</f>
        <v>REMOÇÃO DE FORROS DE DRYWALL, PVC E FIBROMINERAL, DE FORMA MANUAL, SEM REAPROVEITAMENTO. AF  12/2017</v>
      </c>
      <c r="D151" s="152"/>
      <c r="E151" s="152"/>
      <c r="F151" s="152"/>
      <c r="G151" s="152"/>
      <c r="H151" s="152"/>
      <c r="I151" s="152"/>
      <c r="J151" s="83" t="str">
        <f>MEDIÇÃO!E48</f>
        <v>m²</v>
      </c>
      <c r="K151" s="84">
        <f>TRUNC(Tabela467919[[#Totals],[Total]],2)</f>
        <v>52.22</v>
      </c>
      <c r="L151" s="59" t="s">
        <v>465</v>
      </c>
    </row>
    <row r="152" spans="1:12" x14ac:dyDescent="0.2">
      <c r="B152" s="23" t="s">
        <v>0</v>
      </c>
      <c r="C152" s="69" t="s">
        <v>305</v>
      </c>
      <c r="D152" s="23" t="s">
        <v>318</v>
      </c>
      <c r="E152" s="23" t="s">
        <v>323</v>
      </c>
      <c r="F152" s="23" t="s">
        <v>308</v>
      </c>
      <c r="G152" s="23" t="s">
        <v>309</v>
      </c>
      <c r="H152" s="23" t="s">
        <v>310</v>
      </c>
      <c r="I152" s="23" t="s">
        <v>311</v>
      </c>
      <c r="J152" s="23" t="s">
        <v>312</v>
      </c>
      <c r="K152" s="23" t="s">
        <v>6</v>
      </c>
    </row>
    <row r="153" spans="1:12" x14ac:dyDescent="0.2">
      <c r="B153" s="24"/>
      <c r="C153" s="32" t="s">
        <v>317</v>
      </c>
      <c r="D153" s="26">
        <v>8.25</v>
      </c>
      <c r="E153" s="26">
        <v>6.33</v>
      </c>
      <c r="F153" s="26"/>
      <c r="G153" s="26"/>
      <c r="H153" s="26"/>
      <c r="I153" s="26"/>
      <c r="J153" s="26"/>
      <c r="K153" s="26">
        <f>Tabela467919[[#This Row],[Comp. (m)]]*Tabela467919[[#This Row],[Larg. (m)]]</f>
        <v>52.222500000000004</v>
      </c>
    </row>
    <row r="154" spans="1:12" x14ac:dyDescent="0.2">
      <c r="B154" s="27" t="s">
        <v>6</v>
      </c>
      <c r="K154" s="28">
        <f>SUBTOTAL(109,Tabela467919[Total])</f>
        <v>52.222500000000004</v>
      </c>
    </row>
    <row r="155" spans="1:12" x14ac:dyDescent="0.2">
      <c r="K155" s="28"/>
    </row>
    <row r="156" spans="1:12" x14ac:dyDescent="0.2">
      <c r="B156" s="29" t="s">
        <v>302</v>
      </c>
      <c r="C156" s="150" t="s">
        <v>303</v>
      </c>
      <c r="D156" s="150"/>
      <c r="E156" s="150"/>
      <c r="F156" s="150"/>
      <c r="G156" s="150"/>
      <c r="H156" s="150"/>
      <c r="I156" s="150"/>
      <c r="J156" s="29" t="s">
        <v>243</v>
      </c>
      <c r="K156" s="29" t="s">
        <v>304</v>
      </c>
    </row>
    <row r="157" spans="1:12" x14ac:dyDescent="0.2">
      <c r="B157" s="83" t="str">
        <f>MEDIÇÃO!A51</f>
        <v xml:space="preserve"> 4.4 </v>
      </c>
      <c r="C157" s="152" t="str">
        <f>MEDIÇÃO!D51</f>
        <v>FORRO EM DRYWALL, PARA AMBIENTES COMERCIAIS, INCLUSIVE ESTRUTURA DE FIXAÇÃO. AF  05/2017  P</v>
      </c>
      <c r="D157" s="152"/>
      <c r="E157" s="152"/>
      <c r="F157" s="152"/>
      <c r="G157" s="152"/>
      <c r="H157" s="152"/>
      <c r="I157" s="152"/>
      <c r="J157" s="83" t="str">
        <f>MEDIÇÃO!E51</f>
        <v>m²</v>
      </c>
      <c r="K157" s="84">
        <f>TRUNC(Tabela46792[[#Totals],[Total]],2)</f>
        <v>54.22</v>
      </c>
      <c r="L157" s="59" t="s">
        <v>465</v>
      </c>
    </row>
    <row r="158" spans="1:12" x14ac:dyDescent="0.2">
      <c r="B158" s="23" t="s">
        <v>0</v>
      </c>
      <c r="C158" s="69" t="s">
        <v>305</v>
      </c>
      <c r="D158" s="23" t="s">
        <v>318</v>
      </c>
      <c r="E158" s="23" t="s">
        <v>323</v>
      </c>
      <c r="F158" s="23" t="s">
        <v>308</v>
      </c>
      <c r="G158" s="23" t="s">
        <v>309</v>
      </c>
      <c r="H158" s="23" t="s">
        <v>310</v>
      </c>
      <c r="I158" s="23" t="s">
        <v>311</v>
      </c>
      <c r="J158" s="23" t="s">
        <v>312</v>
      </c>
      <c r="K158" s="23" t="s">
        <v>6</v>
      </c>
    </row>
    <row r="159" spans="1:12" x14ac:dyDescent="0.2">
      <c r="B159" s="24"/>
      <c r="C159" s="32" t="s">
        <v>317</v>
      </c>
      <c r="D159" s="26">
        <v>8.25</v>
      </c>
      <c r="E159" s="26">
        <v>6.33</v>
      </c>
      <c r="F159" s="26"/>
      <c r="G159" s="26"/>
      <c r="H159" s="26"/>
      <c r="I159" s="26"/>
      <c r="J159" s="26"/>
      <c r="K159" s="26">
        <f>D159*Tabela46792[[#This Row],[Larg. (m)]]</f>
        <v>52.222500000000004</v>
      </c>
    </row>
    <row r="160" spans="1:12" x14ac:dyDescent="0.2">
      <c r="B160" s="24"/>
      <c r="C160" s="32" t="s">
        <v>344</v>
      </c>
      <c r="D160" s="26">
        <v>2</v>
      </c>
      <c r="E160" s="26">
        <v>1</v>
      </c>
      <c r="F160" s="26"/>
      <c r="G160" s="26"/>
      <c r="H160" s="26"/>
      <c r="I160" s="26"/>
      <c r="J160" s="26"/>
      <c r="K160" s="26">
        <f>D160*Tabela46792[[#This Row],[Larg. (m)]]</f>
        <v>2</v>
      </c>
    </row>
    <row r="161" spans="1:12" x14ac:dyDescent="0.2">
      <c r="B161" s="27" t="s">
        <v>6</v>
      </c>
      <c r="K161" s="28">
        <f>SUBTOTAL(109,Tabela46792[Total])</f>
        <v>54.222500000000004</v>
      </c>
    </row>
    <row r="162" spans="1:12" x14ac:dyDescent="0.2">
      <c r="K162" s="28"/>
    </row>
    <row r="163" spans="1:12" x14ac:dyDescent="0.2">
      <c r="B163" s="29" t="s">
        <v>302</v>
      </c>
      <c r="C163" s="150" t="s">
        <v>303</v>
      </c>
      <c r="D163" s="150"/>
      <c r="E163" s="150"/>
      <c r="F163" s="150"/>
      <c r="G163" s="150"/>
      <c r="H163" s="150"/>
      <c r="I163" s="150"/>
      <c r="J163" s="29" t="s">
        <v>243</v>
      </c>
      <c r="K163" s="29" t="s">
        <v>304</v>
      </c>
    </row>
    <row r="164" spans="1:12" x14ac:dyDescent="0.2">
      <c r="B164" s="85" t="str">
        <f>MEDIÇÃO!A55</f>
        <v xml:space="preserve"> 4.8</v>
      </c>
      <c r="C164" s="151" t="str">
        <f>MEDIÇÃO!D55</f>
        <v xml:space="preserve">ALÇAPÃO EM AÇO PARA FORRO,  40X40CM </v>
      </c>
      <c r="D164" s="151"/>
      <c r="E164" s="151"/>
      <c r="F164" s="151"/>
      <c r="G164" s="151"/>
      <c r="H164" s="151"/>
      <c r="I164" s="151"/>
      <c r="J164" s="85" t="str">
        <f>MEDIÇÃO!E55</f>
        <v>UND</v>
      </c>
      <c r="K164" s="86">
        <f>TRUNC(Tabela4679233[[#Totals],[Total]],2)</f>
        <v>3</v>
      </c>
      <c r="L164" s="59" t="s">
        <v>465</v>
      </c>
    </row>
    <row r="165" spans="1:12" s="82" customFormat="1" ht="15" x14ac:dyDescent="0.25">
      <c r="A165" s="20"/>
      <c r="B165" s="23" t="s">
        <v>0</v>
      </c>
      <c r="C165" s="69" t="s">
        <v>305</v>
      </c>
      <c r="D165" s="23" t="s">
        <v>524</v>
      </c>
      <c r="E165" s="23" t="s">
        <v>307</v>
      </c>
      <c r="F165" s="23" t="s">
        <v>308</v>
      </c>
      <c r="G165" s="23" t="s">
        <v>309</v>
      </c>
      <c r="H165" s="23" t="s">
        <v>310</v>
      </c>
      <c r="I165" s="23" t="s">
        <v>311</v>
      </c>
      <c r="J165" s="23" t="s">
        <v>312</v>
      </c>
      <c r="K165" s="23" t="s">
        <v>6</v>
      </c>
      <c r="L165" s="59"/>
    </row>
    <row r="166" spans="1:12" x14ac:dyDescent="0.2">
      <c r="B166" s="24"/>
      <c r="C166" s="32" t="s">
        <v>317</v>
      </c>
      <c r="D166" s="26">
        <v>2</v>
      </c>
      <c r="E166" s="26"/>
      <c r="F166" s="26"/>
      <c r="G166" s="26"/>
      <c r="H166" s="26"/>
      <c r="I166" s="26"/>
      <c r="J166" s="26"/>
      <c r="K166" s="26">
        <f>Tabela4679233[[#This Row],[Und.]]</f>
        <v>2</v>
      </c>
    </row>
    <row r="167" spans="1:12" x14ac:dyDescent="0.2">
      <c r="B167" s="24"/>
      <c r="C167" s="32" t="s">
        <v>525</v>
      </c>
      <c r="D167" s="26">
        <v>1</v>
      </c>
      <c r="E167" s="26"/>
      <c r="F167" s="26"/>
      <c r="G167" s="26"/>
      <c r="H167" s="26"/>
      <c r="I167" s="26"/>
      <c r="J167" s="26"/>
      <c r="K167" s="26">
        <f>Tabela4679233[[#This Row],[Und.]]</f>
        <v>1</v>
      </c>
    </row>
    <row r="168" spans="1:12" x14ac:dyDescent="0.2">
      <c r="B168" s="27" t="s">
        <v>6</v>
      </c>
      <c r="K168" s="28">
        <f>SUBTOTAL(109,Tabela4679233[Total])</f>
        <v>3</v>
      </c>
    </row>
    <row r="169" spans="1:12" x14ac:dyDescent="0.2">
      <c r="K169" s="28"/>
    </row>
    <row r="170" spans="1:12" x14ac:dyDescent="0.2">
      <c r="K170" s="28"/>
    </row>
    <row r="171" spans="1:12" ht="15" x14ac:dyDescent="0.25">
      <c r="A171" s="82"/>
      <c r="B171" s="77" t="str">
        <f>MEDIÇÃO!A57</f>
        <v xml:space="preserve"> 5 </v>
      </c>
      <c r="C171" s="92" t="str">
        <f>MEDIÇÃO!D57</f>
        <v>PISOS, REVESTIMENTOS E IMPERMEABILIZAÇÃO</v>
      </c>
      <c r="D171" s="79"/>
      <c r="E171" s="79"/>
      <c r="F171" s="79"/>
      <c r="G171" s="79"/>
      <c r="H171" s="79"/>
      <c r="I171" s="79"/>
      <c r="J171" s="79"/>
      <c r="K171" s="80"/>
      <c r="L171" s="81"/>
    </row>
    <row r="172" spans="1:12" x14ac:dyDescent="0.2">
      <c r="B172" s="51"/>
      <c r="C172" s="73"/>
      <c r="K172" s="28"/>
    </row>
    <row r="173" spans="1:12" x14ac:dyDescent="0.2">
      <c r="B173" s="29" t="s">
        <v>302</v>
      </c>
      <c r="C173" s="150" t="s">
        <v>303</v>
      </c>
      <c r="D173" s="150"/>
      <c r="E173" s="150"/>
      <c r="F173" s="150"/>
      <c r="G173" s="150"/>
      <c r="H173" s="150"/>
      <c r="I173" s="150"/>
      <c r="J173" s="29" t="s">
        <v>243</v>
      </c>
      <c r="K173" s="29" t="s">
        <v>304</v>
      </c>
    </row>
    <row r="174" spans="1:12" x14ac:dyDescent="0.2">
      <c r="B174" s="87" t="str">
        <f>MEDIÇÃO!A62</f>
        <v xml:space="preserve"> 5.5 </v>
      </c>
      <c r="C174" s="154" t="str">
        <f>MEDIÇÃO!D62</f>
        <v>PISO VINÍLICO SEMI-FLEXÍVEL EM PLACAS, PADRÃO LISO, ESPESSURA 3,2 MM, FIXADO COM COLA. AF  09/2020</v>
      </c>
      <c r="D174" s="154"/>
      <c r="E174" s="154"/>
      <c r="F174" s="154"/>
      <c r="G174" s="154"/>
      <c r="H174" s="154"/>
      <c r="I174" s="154"/>
      <c r="J174" s="87" t="str">
        <f>MEDIÇÃO!E62</f>
        <v>m²</v>
      </c>
      <c r="K174" s="88">
        <f>TRUNC(Tabela46[[#Totals],[Total]],2)</f>
        <v>111.89</v>
      </c>
      <c r="L174" s="59" t="s">
        <v>465</v>
      </c>
    </row>
    <row r="175" spans="1:12" x14ac:dyDescent="0.2">
      <c r="B175" s="29" t="s">
        <v>0</v>
      </c>
      <c r="C175" s="71" t="s">
        <v>305</v>
      </c>
      <c r="D175" s="29" t="s">
        <v>318</v>
      </c>
      <c r="E175" s="29" t="s">
        <v>323</v>
      </c>
      <c r="F175" s="29" t="s">
        <v>308</v>
      </c>
      <c r="G175" s="29" t="s">
        <v>309</v>
      </c>
      <c r="H175" s="29" t="s">
        <v>310</v>
      </c>
      <c r="I175" s="29" t="s">
        <v>311</v>
      </c>
      <c r="J175" s="29" t="s">
        <v>312</v>
      </c>
      <c r="K175" s="29" t="s">
        <v>6</v>
      </c>
    </row>
    <row r="176" spans="1:12" x14ac:dyDescent="0.2">
      <c r="C176" s="70" t="s">
        <v>317</v>
      </c>
      <c r="D176" s="30">
        <v>8.25</v>
      </c>
      <c r="E176" s="30">
        <v>6.33</v>
      </c>
      <c r="F176" s="30"/>
      <c r="G176" s="30"/>
      <c r="H176" s="30"/>
      <c r="I176" s="30"/>
      <c r="J176" s="30"/>
      <c r="K176" s="30">
        <f t="shared" ref="K176:K181" si="1">D176*E176</f>
        <v>52.222500000000004</v>
      </c>
    </row>
    <row r="177" spans="2:12" x14ac:dyDescent="0.2">
      <c r="C177" s="70" t="s">
        <v>326</v>
      </c>
      <c r="D177" s="30">
        <v>3.85</v>
      </c>
      <c r="E177" s="30">
        <v>3.5</v>
      </c>
      <c r="F177" s="30"/>
      <c r="G177" s="30"/>
      <c r="H177" s="30"/>
      <c r="I177" s="30"/>
      <c r="J177" s="30"/>
      <c r="K177" s="30">
        <f t="shared" si="1"/>
        <v>13.475</v>
      </c>
    </row>
    <row r="178" spans="2:12" x14ac:dyDescent="0.2">
      <c r="C178" s="70" t="s">
        <v>327</v>
      </c>
      <c r="D178" s="30">
        <v>2.52</v>
      </c>
      <c r="E178" s="30">
        <v>1.2</v>
      </c>
      <c r="F178" s="30"/>
      <c r="G178" s="30"/>
      <c r="H178" s="30"/>
      <c r="I178" s="30"/>
      <c r="J178" s="30"/>
      <c r="K178" s="30">
        <f t="shared" si="1"/>
        <v>3.024</v>
      </c>
    </row>
    <row r="179" spans="2:12" x14ac:dyDescent="0.2">
      <c r="C179" s="70" t="s">
        <v>456</v>
      </c>
      <c r="D179" s="52">
        <v>6.85</v>
      </c>
      <c r="E179" s="52">
        <v>3.9</v>
      </c>
      <c r="F179" s="52"/>
      <c r="G179" s="52"/>
      <c r="H179" s="52"/>
      <c r="I179" s="52"/>
      <c r="J179" s="52"/>
      <c r="K179" s="52">
        <f t="shared" si="1"/>
        <v>26.714999999999996</v>
      </c>
    </row>
    <row r="180" spans="2:12" x14ac:dyDescent="0.2">
      <c r="C180" s="70" t="s">
        <v>457</v>
      </c>
      <c r="D180" s="52">
        <v>1.35</v>
      </c>
      <c r="E180" s="52">
        <v>1.3</v>
      </c>
      <c r="F180" s="52"/>
      <c r="G180" s="52"/>
      <c r="H180" s="52"/>
      <c r="I180" s="52"/>
      <c r="J180" s="52"/>
      <c r="K180" s="52">
        <f t="shared" si="1"/>
        <v>1.7550000000000001</v>
      </c>
    </row>
    <row r="181" spans="2:12" x14ac:dyDescent="0.2">
      <c r="C181" s="70" t="s">
        <v>438</v>
      </c>
      <c r="D181" s="52">
        <v>3.5</v>
      </c>
      <c r="E181" s="52">
        <v>4.2</v>
      </c>
      <c r="F181" s="52"/>
      <c r="G181" s="52"/>
      <c r="H181" s="52"/>
      <c r="I181" s="52"/>
      <c r="J181" s="52"/>
      <c r="K181" s="52">
        <f t="shared" si="1"/>
        <v>14.700000000000001</v>
      </c>
    </row>
    <row r="182" spans="2:12" x14ac:dyDescent="0.2">
      <c r="B182" s="46" t="s">
        <v>6</v>
      </c>
      <c r="C182" s="72"/>
      <c r="D182" s="47"/>
      <c r="E182" s="47"/>
      <c r="F182" s="47"/>
      <c r="G182" s="47"/>
      <c r="H182" s="47"/>
      <c r="I182" s="47"/>
      <c r="J182" s="47"/>
      <c r="K182" s="48">
        <f>SUBTOTAL(109,Tabela46[Total])</f>
        <v>111.89149999999999</v>
      </c>
    </row>
    <row r="183" spans="2:12" x14ac:dyDescent="0.2">
      <c r="K183" s="28"/>
    </row>
    <row r="184" spans="2:12" x14ac:dyDescent="0.2">
      <c r="B184" s="29" t="s">
        <v>302</v>
      </c>
      <c r="C184" s="150" t="s">
        <v>303</v>
      </c>
      <c r="D184" s="150"/>
      <c r="E184" s="150"/>
      <c r="F184" s="150"/>
      <c r="G184" s="150"/>
      <c r="H184" s="150"/>
      <c r="I184" s="150"/>
      <c r="J184" s="29" t="s">
        <v>243</v>
      </c>
      <c r="K184" s="29" t="s">
        <v>304</v>
      </c>
    </row>
    <row r="185" spans="2:12" x14ac:dyDescent="0.2">
      <c r="B185" s="83" t="str">
        <f>MEDIÇÃO!A69</f>
        <v xml:space="preserve"> 5.12 </v>
      </c>
      <c r="C185" s="152" t="str">
        <f>MEDIÇÃO!D69</f>
        <v>SOLEIRA EM GRANITO, LARGURA 15 CM, ESPESSURA 2,0 CM. AF_09/2020</v>
      </c>
      <c r="D185" s="152"/>
      <c r="E185" s="152"/>
      <c r="F185" s="152"/>
      <c r="G185" s="152"/>
      <c r="H185" s="152"/>
      <c r="I185" s="152"/>
      <c r="J185" s="83" t="str">
        <f>MEDIÇÃO!E69</f>
        <v>M</v>
      </c>
      <c r="K185" s="84">
        <f>TRUNC(Tabela467939[[#Totals],[Total]],2)</f>
        <v>0.9</v>
      </c>
      <c r="L185" s="59" t="s">
        <v>465</v>
      </c>
    </row>
    <row r="186" spans="2:12" x14ac:dyDescent="0.2">
      <c r="B186" s="23" t="s">
        <v>0</v>
      </c>
      <c r="C186" s="69" t="s">
        <v>305</v>
      </c>
      <c r="D186" s="23" t="s">
        <v>318</v>
      </c>
      <c r="E186" s="23" t="s">
        <v>307</v>
      </c>
      <c r="F186" s="23" t="s">
        <v>308</v>
      </c>
      <c r="G186" s="23" t="s">
        <v>309</v>
      </c>
      <c r="H186" s="23" t="s">
        <v>310</v>
      </c>
      <c r="I186" s="23" t="s">
        <v>311</v>
      </c>
      <c r="J186" s="23" t="s">
        <v>312</v>
      </c>
      <c r="K186" s="23" t="s">
        <v>6</v>
      </c>
    </row>
    <row r="187" spans="2:12" x14ac:dyDescent="0.2">
      <c r="B187" s="24"/>
      <c r="C187" s="32" t="s">
        <v>343</v>
      </c>
      <c r="D187" s="26">
        <v>0.9</v>
      </c>
      <c r="E187" s="26"/>
      <c r="F187" s="26"/>
      <c r="G187" s="26"/>
      <c r="H187" s="26"/>
      <c r="I187" s="26"/>
      <c r="J187" s="26"/>
      <c r="K187" s="26">
        <f>D187</f>
        <v>0.9</v>
      </c>
    </row>
    <row r="188" spans="2:12" x14ac:dyDescent="0.2">
      <c r="B188" s="27" t="s">
        <v>6</v>
      </c>
      <c r="K188" s="28">
        <f>SUBTOTAL(109,Tabela467939[Total])</f>
        <v>0.9</v>
      </c>
    </row>
    <row r="189" spans="2:12" x14ac:dyDescent="0.2">
      <c r="B189" s="51"/>
      <c r="C189" s="73"/>
      <c r="K189" s="28"/>
    </row>
    <row r="190" spans="2:12" x14ac:dyDescent="0.2">
      <c r="B190" s="29" t="s">
        <v>302</v>
      </c>
      <c r="C190" s="150" t="s">
        <v>303</v>
      </c>
      <c r="D190" s="150"/>
      <c r="E190" s="150"/>
      <c r="F190" s="150"/>
      <c r="G190" s="150"/>
      <c r="H190" s="150"/>
      <c r="I190" s="150"/>
      <c r="J190" s="29" t="s">
        <v>243</v>
      </c>
      <c r="K190" s="29" t="s">
        <v>304</v>
      </c>
    </row>
    <row r="191" spans="2:12" x14ac:dyDescent="0.2">
      <c r="B191" s="93" t="str">
        <f>MEDIÇÃO!A70</f>
        <v xml:space="preserve"> 5.13</v>
      </c>
      <c r="C191" s="153" t="str">
        <f>MEDIÇÃO!D70</f>
        <v>LIMPEZA DE PISO CERÂMICO OU PORCELANATO UTILIZANDO DETERGENTE NEUTRO E ESCOVAÇÃO MANUAL. AF_04/2019</v>
      </c>
      <c r="D191" s="153"/>
      <c r="E191" s="153"/>
      <c r="F191" s="153"/>
      <c r="G191" s="153"/>
      <c r="H191" s="153"/>
      <c r="I191" s="153"/>
      <c r="J191" s="93" t="str">
        <f>MEDIÇÃO!E70</f>
        <v>M²</v>
      </c>
      <c r="K191" s="94">
        <f>TRUNC(Tabela4613[[#Totals],[Total]],2)</f>
        <v>111.89</v>
      </c>
      <c r="L191" s="59" t="s">
        <v>465</v>
      </c>
    </row>
    <row r="192" spans="2:12" x14ac:dyDescent="0.2">
      <c r="B192" s="29" t="s">
        <v>0</v>
      </c>
      <c r="C192" s="71" t="s">
        <v>305</v>
      </c>
      <c r="D192" s="29" t="s">
        <v>318</v>
      </c>
      <c r="E192" s="29" t="s">
        <v>323</v>
      </c>
      <c r="F192" s="29" t="s">
        <v>308</v>
      </c>
      <c r="G192" s="29" t="s">
        <v>309</v>
      </c>
      <c r="H192" s="29" t="s">
        <v>310</v>
      </c>
      <c r="I192" s="29" t="s">
        <v>311</v>
      </c>
      <c r="J192" s="29" t="s">
        <v>312</v>
      </c>
      <c r="K192" s="29" t="s">
        <v>6</v>
      </c>
    </row>
    <row r="193" spans="2:12" x14ac:dyDescent="0.2">
      <c r="C193" s="70" t="s">
        <v>317</v>
      </c>
      <c r="D193" s="30">
        <v>8.25</v>
      </c>
      <c r="E193" s="30">
        <v>6.33</v>
      </c>
      <c r="F193" s="30"/>
      <c r="G193" s="30"/>
      <c r="H193" s="30"/>
      <c r="I193" s="30"/>
      <c r="J193" s="30"/>
      <c r="K193" s="30">
        <f t="shared" ref="K193:K198" si="2">D193*E193</f>
        <v>52.222500000000004</v>
      </c>
    </row>
    <row r="194" spans="2:12" x14ac:dyDescent="0.2">
      <c r="C194" s="70" t="s">
        <v>326</v>
      </c>
      <c r="D194" s="30">
        <v>3.85</v>
      </c>
      <c r="E194" s="30">
        <v>3.5</v>
      </c>
      <c r="F194" s="30"/>
      <c r="G194" s="30"/>
      <c r="H194" s="30"/>
      <c r="I194" s="30"/>
      <c r="J194" s="30"/>
      <c r="K194" s="30">
        <f t="shared" si="2"/>
        <v>13.475</v>
      </c>
    </row>
    <row r="195" spans="2:12" x14ac:dyDescent="0.2">
      <c r="C195" s="70" t="s">
        <v>327</v>
      </c>
      <c r="D195" s="30">
        <v>2.52</v>
      </c>
      <c r="E195" s="30">
        <v>1.2</v>
      </c>
      <c r="F195" s="30"/>
      <c r="G195" s="30"/>
      <c r="H195" s="30"/>
      <c r="I195" s="30"/>
      <c r="J195" s="30"/>
      <c r="K195" s="30">
        <f t="shared" si="2"/>
        <v>3.024</v>
      </c>
    </row>
    <row r="196" spans="2:12" x14ac:dyDescent="0.2">
      <c r="C196" s="70" t="s">
        <v>456</v>
      </c>
      <c r="D196" s="52">
        <v>6.85</v>
      </c>
      <c r="E196" s="52">
        <v>3.9</v>
      </c>
      <c r="F196" s="52"/>
      <c r="G196" s="52"/>
      <c r="H196" s="52"/>
      <c r="I196" s="52"/>
      <c r="J196" s="52"/>
      <c r="K196" s="52">
        <f t="shared" si="2"/>
        <v>26.714999999999996</v>
      </c>
    </row>
    <row r="197" spans="2:12" x14ac:dyDescent="0.2">
      <c r="C197" s="70" t="s">
        <v>457</v>
      </c>
      <c r="D197" s="52">
        <v>1.35</v>
      </c>
      <c r="E197" s="52">
        <v>1.3</v>
      </c>
      <c r="F197" s="52"/>
      <c r="G197" s="52"/>
      <c r="H197" s="52"/>
      <c r="I197" s="52"/>
      <c r="J197" s="52"/>
      <c r="K197" s="52">
        <f t="shared" si="2"/>
        <v>1.7550000000000001</v>
      </c>
    </row>
    <row r="198" spans="2:12" x14ac:dyDescent="0.2">
      <c r="C198" s="70" t="s">
        <v>438</v>
      </c>
      <c r="D198" s="52">
        <v>3.5</v>
      </c>
      <c r="E198" s="52">
        <v>4.2</v>
      </c>
      <c r="F198" s="52"/>
      <c r="G198" s="52"/>
      <c r="H198" s="52"/>
      <c r="I198" s="52"/>
      <c r="J198" s="52"/>
      <c r="K198" s="52">
        <f t="shared" si="2"/>
        <v>14.700000000000001</v>
      </c>
    </row>
    <row r="199" spans="2:12" x14ac:dyDescent="0.2">
      <c r="B199" s="46" t="s">
        <v>6</v>
      </c>
      <c r="C199" s="72"/>
      <c r="D199" s="47"/>
      <c r="E199" s="47"/>
      <c r="F199" s="47"/>
      <c r="G199" s="47"/>
      <c r="H199" s="47"/>
      <c r="I199" s="47"/>
      <c r="J199" s="47"/>
      <c r="K199" s="48">
        <f>SUBTOTAL(109,Tabela4613[Total])</f>
        <v>111.89149999999999</v>
      </c>
    </row>
    <row r="200" spans="2:12" x14ac:dyDescent="0.2">
      <c r="K200" s="28"/>
    </row>
    <row r="201" spans="2:12" x14ac:dyDescent="0.2">
      <c r="B201" s="29" t="s">
        <v>302</v>
      </c>
      <c r="C201" s="150" t="s">
        <v>303</v>
      </c>
      <c r="D201" s="150"/>
      <c r="E201" s="150"/>
      <c r="F201" s="150"/>
      <c r="G201" s="150"/>
      <c r="H201" s="150"/>
      <c r="I201" s="150"/>
      <c r="J201" s="29" t="s">
        <v>243</v>
      </c>
      <c r="K201" s="29" t="s">
        <v>304</v>
      </c>
    </row>
    <row r="202" spans="2:12" x14ac:dyDescent="0.2">
      <c r="B202" s="85" t="str">
        <f>MEDIÇÃO!A71</f>
        <v xml:space="preserve"> 5.14</v>
      </c>
      <c r="C202" s="151" t="str">
        <f>MEDIÇÃO!D71</f>
        <v>REGULARIZAÇÃO DE BASE PARA APLICAÇÃO DE REVESTIMENTO DE PISO</v>
      </c>
      <c r="D202" s="151"/>
      <c r="E202" s="151"/>
      <c r="F202" s="151"/>
      <c r="G202" s="151"/>
      <c r="H202" s="151"/>
      <c r="I202" s="151"/>
      <c r="J202" s="85" t="str">
        <f>MEDIÇÃO!E71</f>
        <v>M²</v>
      </c>
      <c r="K202" s="86">
        <f>TRUNC(Tabela467968[[#Totals],[Total]],2)</f>
        <v>111.89</v>
      </c>
      <c r="L202" s="59" t="s">
        <v>465</v>
      </c>
    </row>
    <row r="203" spans="2:12" x14ac:dyDescent="0.2">
      <c r="B203" s="23" t="s">
        <v>0</v>
      </c>
      <c r="C203" s="71" t="s">
        <v>305</v>
      </c>
      <c r="D203" s="29" t="s">
        <v>439</v>
      </c>
      <c r="E203" s="29" t="s">
        <v>307</v>
      </c>
      <c r="F203" s="23" t="s">
        <v>308</v>
      </c>
      <c r="G203" s="23" t="s">
        <v>309</v>
      </c>
      <c r="H203" s="23" t="s">
        <v>310</v>
      </c>
      <c r="I203" s="23" t="s">
        <v>311</v>
      </c>
      <c r="J203" s="23" t="s">
        <v>312</v>
      </c>
      <c r="K203" s="23" t="s">
        <v>6</v>
      </c>
    </row>
    <row r="204" spans="2:12" x14ac:dyDescent="0.2">
      <c r="B204" s="24"/>
      <c r="C204" s="70" t="s">
        <v>515</v>
      </c>
      <c r="D204" s="30">
        <f>K174</f>
        <v>111.89</v>
      </c>
      <c r="E204" s="30"/>
      <c r="F204" s="26"/>
      <c r="G204" s="26"/>
      <c r="H204" s="26"/>
      <c r="I204" s="26"/>
      <c r="J204" s="26"/>
      <c r="K204" s="26">
        <f>Tabela467968[[#This Row],[Àrea(m²)]]</f>
        <v>111.89</v>
      </c>
    </row>
    <row r="205" spans="2:12" x14ac:dyDescent="0.2">
      <c r="B205" s="27" t="s">
        <v>6</v>
      </c>
      <c r="K205" s="28">
        <f>SUBTOTAL(109,Tabela467968[Total])</f>
        <v>111.89</v>
      </c>
    </row>
    <row r="206" spans="2:12" x14ac:dyDescent="0.2">
      <c r="K206" s="28"/>
    </row>
    <row r="207" spans="2:12" x14ac:dyDescent="0.2">
      <c r="B207" s="29" t="s">
        <v>302</v>
      </c>
      <c r="C207" s="150" t="s">
        <v>303</v>
      </c>
      <c r="D207" s="150"/>
      <c r="E207" s="150"/>
      <c r="F207" s="150"/>
      <c r="G207" s="150"/>
      <c r="H207" s="150"/>
      <c r="I207" s="150"/>
      <c r="J207" s="29" t="s">
        <v>243</v>
      </c>
      <c r="K207" s="29" t="s">
        <v>304</v>
      </c>
    </row>
    <row r="208" spans="2:12" x14ac:dyDescent="0.2">
      <c r="B208" s="93" t="str">
        <f>MEDIÇÃO!A72</f>
        <v xml:space="preserve"> 5.15</v>
      </c>
      <c r="C208" s="153" t="str">
        <f>MEDIÇÃO!D72</f>
        <v>RODAPÉ EM POLIESTIRENO, ALTURA 10CM</v>
      </c>
      <c r="D208" s="153"/>
      <c r="E208" s="153"/>
      <c r="F208" s="153"/>
      <c r="G208" s="153"/>
      <c r="H208" s="153"/>
      <c r="I208" s="153"/>
      <c r="J208" s="93" t="str">
        <f>MEDIÇÃO!E72</f>
        <v>M</v>
      </c>
      <c r="K208" s="94">
        <f>TRUNC(Tabela4[[#Totals],[Total]],2)</f>
        <v>55.55</v>
      </c>
      <c r="L208" s="59" t="s">
        <v>465</v>
      </c>
    </row>
    <row r="209" spans="1:12" x14ac:dyDescent="0.2">
      <c r="B209" s="29" t="s">
        <v>0</v>
      </c>
      <c r="C209" s="71" t="s">
        <v>305</v>
      </c>
      <c r="D209" s="29" t="s">
        <v>318</v>
      </c>
      <c r="E209" s="29" t="s">
        <v>5</v>
      </c>
      <c r="F209" s="29" t="s">
        <v>308</v>
      </c>
      <c r="G209" s="29" t="s">
        <v>309</v>
      </c>
      <c r="H209" s="29" t="s">
        <v>310</v>
      </c>
      <c r="I209" s="29" t="s">
        <v>311</v>
      </c>
      <c r="J209" s="29" t="s">
        <v>312</v>
      </c>
      <c r="K209" s="29" t="s">
        <v>6</v>
      </c>
    </row>
    <row r="210" spans="1:12" x14ac:dyDescent="0.2">
      <c r="C210" s="70" t="s">
        <v>538</v>
      </c>
      <c r="D210" s="30">
        <v>8.25</v>
      </c>
      <c r="E210" s="30">
        <v>1</v>
      </c>
      <c r="F210" s="30"/>
      <c r="G210" s="30"/>
      <c r="H210" s="30"/>
      <c r="I210" s="30"/>
      <c r="J210" s="30"/>
      <c r="K210" s="30">
        <f>Tabela4[[#This Row],[Comp. (m)]]*Tabela4[[#This Row],[Quant.]]</f>
        <v>8.25</v>
      </c>
    </row>
    <row r="211" spans="1:12" x14ac:dyDescent="0.2">
      <c r="C211" s="70" t="s">
        <v>539</v>
      </c>
      <c r="D211" s="30">
        <v>6.33</v>
      </c>
      <c r="E211" s="30">
        <v>1</v>
      </c>
      <c r="F211" s="30"/>
      <c r="G211" s="30"/>
      <c r="H211" s="30"/>
      <c r="I211" s="30"/>
      <c r="J211" s="30"/>
      <c r="K211" s="30">
        <f>Tabela4[[#This Row],[Comp. (m)]]*Tabela4[[#This Row],[Quant.]]</f>
        <v>6.33</v>
      </c>
    </row>
    <row r="212" spans="1:12" x14ac:dyDescent="0.2">
      <c r="C212" s="70" t="s">
        <v>328</v>
      </c>
      <c r="D212" s="30">
        <v>3.5</v>
      </c>
      <c r="E212" s="30">
        <v>1</v>
      </c>
      <c r="F212" s="30"/>
      <c r="G212" s="30"/>
      <c r="H212" s="30"/>
      <c r="I212" s="30"/>
      <c r="J212" s="30"/>
      <c r="K212" s="30">
        <f>Tabela4[[#This Row],[Comp. (m)]]*Tabela4[[#This Row],[Quant.]]</f>
        <v>3.5</v>
      </c>
    </row>
    <row r="213" spans="1:12" x14ac:dyDescent="0.2">
      <c r="C213" s="70" t="s">
        <v>336</v>
      </c>
      <c r="D213" s="30">
        <v>3.85</v>
      </c>
      <c r="E213" s="30">
        <v>1</v>
      </c>
      <c r="F213" s="30"/>
      <c r="G213" s="30"/>
      <c r="H213" s="30"/>
      <c r="I213" s="30"/>
      <c r="J213" s="30"/>
      <c r="K213" s="30">
        <f>Tabela4[[#This Row],[Comp. (m)]]*Tabela4[[#This Row],[Quant.]]</f>
        <v>3.85</v>
      </c>
    </row>
    <row r="214" spans="1:12" x14ac:dyDescent="0.2">
      <c r="C214" s="70" t="s">
        <v>337</v>
      </c>
      <c r="D214" s="30">
        <v>3.5</v>
      </c>
      <c r="E214" s="30">
        <v>1</v>
      </c>
      <c r="F214" s="30"/>
      <c r="G214" s="30"/>
      <c r="H214" s="30"/>
      <c r="I214" s="30"/>
      <c r="J214" s="30"/>
      <c r="K214" s="30">
        <f>Tabela4[[#This Row],[Comp. (m)]]*Tabela4[[#This Row],[Quant.]]</f>
        <v>3.5</v>
      </c>
    </row>
    <row r="215" spans="1:12" x14ac:dyDescent="0.2">
      <c r="C215" s="70" t="s">
        <v>338</v>
      </c>
      <c r="D215" s="30">
        <v>3.85</v>
      </c>
      <c r="E215" s="30">
        <v>1</v>
      </c>
      <c r="F215" s="30"/>
      <c r="G215" s="30"/>
      <c r="H215" s="30"/>
      <c r="I215" s="30"/>
      <c r="J215" s="30"/>
      <c r="K215" s="30">
        <f>Tabela4[[#This Row],[Comp. (m)]]*Tabela4[[#This Row],[Quant.]]</f>
        <v>3.85</v>
      </c>
    </row>
    <row r="216" spans="1:12" x14ac:dyDescent="0.2">
      <c r="C216" s="70" t="s">
        <v>339</v>
      </c>
      <c r="D216" s="30">
        <v>0.8</v>
      </c>
      <c r="E216" s="30">
        <v>-5</v>
      </c>
      <c r="F216" s="30"/>
      <c r="G216" s="30"/>
      <c r="H216" s="30"/>
      <c r="I216" s="30"/>
      <c r="J216" s="30"/>
      <c r="K216" s="30">
        <f>Tabela4[[#This Row],[Comp. (m)]]*Tabela4[[#This Row],[Quant.]]</f>
        <v>-4</v>
      </c>
    </row>
    <row r="217" spans="1:12" x14ac:dyDescent="0.2">
      <c r="C217" s="70" t="s">
        <v>340</v>
      </c>
      <c r="D217" s="30">
        <v>1.2</v>
      </c>
      <c r="E217" s="30">
        <v>1</v>
      </c>
      <c r="F217" s="30"/>
      <c r="G217" s="30"/>
      <c r="H217" s="30"/>
      <c r="I217" s="30"/>
      <c r="J217" s="30"/>
      <c r="K217" s="30">
        <f>Tabela4[[#This Row],[Comp. (m)]]*Tabela4[[#This Row],[Quant.]]</f>
        <v>1.2</v>
      </c>
    </row>
    <row r="218" spans="1:12" x14ac:dyDescent="0.2">
      <c r="C218" s="70" t="s">
        <v>341</v>
      </c>
      <c r="D218" s="30">
        <v>2.62</v>
      </c>
      <c r="E218" s="30">
        <v>1</v>
      </c>
      <c r="F218" s="30"/>
      <c r="G218" s="30"/>
      <c r="H218" s="30"/>
      <c r="I218" s="30"/>
      <c r="J218" s="30"/>
      <c r="K218" s="30">
        <f>Tabela4[[#This Row],[Comp. (m)]]*Tabela4[[#This Row],[Quant.]]</f>
        <v>2.62</v>
      </c>
    </row>
    <row r="219" spans="1:12" x14ac:dyDescent="0.2">
      <c r="C219" s="70" t="s">
        <v>342</v>
      </c>
      <c r="D219" s="30">
        <v>0.8</v>
      </c>
      <c r="E219" s="30">
        <v>-1</v>
      </c>
      <c r="F219" s="30"/>
      <c r="G219" s="30"/>
      <c r="H219" s="30"/>
      <c r="I219" s="30"/>
      <c r="J219" s="30"/>
      <c r="K219" s="30">
        <f>Tabela4[[#This Row],[Comp. (m)]]*Tabela4[[#This Row],[Quant.]]</f>
        <v>-0.8</v>
      </c>
    </row>
    <row r="220" spans="1:12" x14ac:dyDescent="0.2">
      <c r="C220" s="70" t="s">
        <v>466</v>
      </c>
      <c r="D220" s="52">
        <v>6.85</v>
      </c>
      <c r="E220" s="52">
        <v>1</v>
      </c>
      <c r="F220" s="52"/>
      <c r="G220" s="52"/>
      <c r="H220" s="52"/>
      <c r="I220" s="52"/>
      <c r="J220" s="52"/>
      <c r="K220" s="52">
        <f>Tabela4[[#This Row],[Comp. (m)]]*Tabela4[[#This Row],[Quant.]]</f>
        <v>6.85</v>
      </c>
    </row>
    <row r="221" spans="1:12" x14ac:dyDescent="0.2">
      <c r="C221" s="70" t="s">
        <v>467</v>
      </c>
      <c r="D221" s="52">
        <v>3.9</v>
      </c>
      <c r="E221" s="52">
        <v>1</v>
      </c>
      <c r="F221" s="52"/>
      <c r="G221" s="52"/>
      <c r="H221" s="52"/>
      <c r="I221" s="52"/>
      <c r="J221" s="52"/>
      <c r="K221" s="52">
        <f>Tabela4[[#This Row],[Comp. (m)]]*Tabela4[[#This Row],[Quant.]]</f>
        <v>3.9</v>
      </c>
    </row>
    <row r="222" spans="1:12" x14ac:dyDescent="0.2">
      <c r="C222" s="70" t="s">
        <v>468</v>
      </c>
      <c r="D222" s="52">
        <v>1.35</v>
      </c>
      <c r="E222" s="52">
        <v>2</v>
      </c>
      <c r="F222" s="52"/>
      <c r="G222" s="52"/>
      <c r="H222" s="52"/>
      <c r="I222" s="52"/>
      <c r="J222" s="52"/>
      <c r="K222" s="52">
        <f>Tabela4[[#This Row],[Comp. (m)]]*Tabela4[[#This Row],[Quant.]]</f>
        <v>2.7</v>
      </c>
    </row>
    <row r="223" spans="1:12" s="82" customFormat="1" ht="15" x14ac:dyDescent="0.25">
      <c r="A223" s="20"/>
      <c r="B223" s="27"/>
      <c r="C223" s="70" t="s">
        <v>469</v>
      </c>
      <c r="D223" s="52">
        <v>1.3</v>
      </c>
      <c r="E223" s="52">
        <v>2</v>
      </c>
      <c r="F223" s="52"/>
      <c r="G223" s="52"/>
      <c r="H223" s="52"/>
      <c r="I223" s="52"/>
      <c r="J223" s="52"/>
      <c r="K223" s="52">
        <f>Tabela4[[#This Row],[Comp. (m)]]*Tabela4[[#This Row],[Quant.]]</f>
        <v>2.6</v>
      </c>
      <c r="L223" s="59"/>
    </row>
    <row r="224" spans="1:12" x14ac:dyDescent="0.2">
      <c r="C224" s="70" t="s">
        <v>440</v>
      </c>
      <c r="D224" s="52">
        <v>3.5</v>
      </c>
      <c r="E224" s="52">
        <v>2</v>
      </c>
      <c r="F224" s="52"/>
      <c r="G224" s="52"/>
      <c r="H224" s="52"/>
      <c r="I224" s="52"/>
      <c r="J224" s="52"/>
      <c r="K224" s="52">
        <f>Tabela4[[#This Row],[Comp. (m)]]*Tabela4[[#This Row],[Quant.]]</f>
        <v>7</v>
      </c>
    </row>
    <row r="225" spans="1:12" x14ac:dyDescent="0.2">
      <c r="C225" s="70" t="s">
        <v>441</v>
      </c>
      <c r="D225" s="52">
        <v>4.2</v>
      </c>
      <c r="E225" s="52">
        <v>1</v>
      </c>
      <c r="F225" s="52"/>
      <c r="G225" s="52"/>
      <c r="H225" s="52"/>
      <c r="I225" s="52"/>
      <c r="J225" s="52"/>
      <c r="K225" s="52">
        <f>Tabela4[[#This Row],[Comp. (m)]]*Tabela4[[#This Row],[Quant.]]</f>
        <v>4.2</v>
      </c>
    </row>
    <row r="226" spans="1:12" x14ac:dyDescent="0.2">
      <c r="B226" s="46" t="s">
        <v>6</v>
      </c>
      <c r="C226" s="72"/>
      <c r="D226" s="47"/>
      <c r="E226" s="47"/>
      <c r="F226" s="47"/>
      <c r="G226" s="47"/>
      <c r="H226" s="47"/>
      <c r="I226" s="47"/>
      <c r="J226" s="47"/>
      <c r="K226" s="48">
        <f>SUBTOTAL(109,Tabela4[Total])</f>
        <v>55.550000000000004</v>
      </c>
    </row>
    <row r="227" spans="1:12" x14ac:dyDescent="0.2">
      <c r="K227" s="28"/>
    </row>
    <row r="228" spans="1:12" x14ac:dyDescent="0.2">
      <c r="K228" s="28"/>
    </row>
    <row r="229" spans="1:12" ht="15" x14ac:dyDescent="0.25">
      <c r="A229" s="82"/>
      <c r="B229" s="77" t="str">
        <f>MEDIÇÃO!A87</f>
        <v xml:space="preserve"> 7 </v>
      </c>
      <c r="C229" s="92" t="str">
        <f>MEDIÇÃO!D87</f>
        <v>INSTALAÇÕES ELÉTRICAS / DADOS / VOZ e IMAGEM</v>
      </c>
      <c r="D229" s="79"/>
      <c r="E229" s="79"/>
      <c r="F229" s="79"/>
      <c r="G229" s="79"/>
      <c r="H229" s="79"/>
      <c r="I229" s="79"/>
      <c r="J229" s="79"/>
      <c r="K229" s="80"/>
      <c r="L229" s="81"/>
    </row>
    <row r="230" spans="1:12" x14ac:dyDescent="0.2">
      <c r="K230" s="28"/>
    </row>
    <row r="231" spans="1:12" x14ac:dyDescent="0.2">
      <c r="B231" s="29" t="s">
        <v>302</v>
      </c>
      <c r="C231" s="150" t="s">
        <v>303</v>
      </c>
      <c r="D231" s="150"/>
      <c r="E231" s="150"/>
      <c r="F231" s="150"/>
      <c r="G231" s="150"/>
      <c r="H231" s="150"/>
      <c r="I231" s="150"/>
      <c r="J231" s="29" t="s">
        <v>243</v>
      </c>
      <c r="K231" s="29" t="s">
        <v>304</v>
      </c>
    </row>
    <row r="232" spans="1:12" x14ac:dyDescent="0.2">
      <c r="B232" s="83" t="str">
        <f>MEDIÇÃO!A88</f>
        <v xml:space="preserve"> 7.1 </v>
      </c>
      <c r="C232" s="152" t="str">
        <f>MEDIÇÃO!D88</f>
        <v>CABO DE COBRE FLEXÍVEL ISOLADO, 4 MM², ANTI-CHAMA 450/750 V, PARA CIRCUITOS TERMINAIS - FORNECIMENTO E INSTALAÇÃO. AF  12/2015</v>
      </c>
      <c r="D232" s="152"/>
      <c r="E232" s="152"/>
      <c r="F232" s="152"/>
      <c r="G232" s="152"/>
      <c r="H232" s="152"/>
      <c r="I232" s="152"/>
      <c r="J232" s="83" t="str">
        <f>MEDIÇÃO!E88</f>
        <v>M</v>
      </c>
      <c r="K232" s="84">
        <f>TRUNC(Tabela467979[[#Totals],[Total]],2)</f>
        <v>360</v>
      </c>
      <c r="L232" s="59" t="s">
        <v>465</v>
      </c>
    </row>
    <row r="233" spans="1:12" x14ac:dyDescent="0.2">
      <c r="B233" s="23" t="s">
        <v>0</v>
      </c>
      <c r="C233" s="69" t="s">
        <v>305</v>
      </c>
      <c r="D233" s="23" t="s">
        <v>361</v>
      </c>
      <c r="E233" s="23" t="s">
        <v>362</v>
      </c>
      <c r="F233" s="23" t="s">
        <v>308</v>
      </c>
      <c r="G233" s="23" t="s">
        <v>309</v>
      </c>
      <c r="H233" s="23" t="s">
        <v>310</v>
      </c>
      <c r="I233" s="23" t="s">
        <v>311</v>
      </c>
      <c r="J233" s="23" t="s">
        <v>312</v>
      </c>
      <c r="K233" s="23" t="s">
        <v>6</v>
      </c>
    </row>
    <row r="234" spans="1:12" x14ac:dyDescent="0.2">
      <c r="B234" s="24"/>
      <c r="C234" s="32" t="s">
        <v>618</v>
      </c>
      <c r="D234" s="26">
        <v>21</v>
      </c>
      <c r="E234" s="26">
        <v>15</v>
      </c>
      <c r="F234" s="26"/>
      <c r="G234" s="26"/>
      <c r="H234" s="26"/>
      <c r="I234" s="26"/>
      <c r="J234" s="26"/>
      <c r="K234" s="26">
        <f>Tabela467979[[#This Row],[Pontos]]*Tabela467979[[#This Row],[m/ponto]]</f>
        <v>315</v>
      </c>
    </row>
    <row r="235" spans="1:12" x14ac:dyDescent="0.2">
      <c r="B235" s="24"/>
      <c r="C235" s="32" t="s">
        <v>470</v>
      </c>
      <c r="D235" s="26">
        <f>K372</f>
        <v>3</v>
      </c>
      <c r="E235" s="26">
        <v>15</v>
      </c>
      <c r="F235" s="26"/>
      <c r="G235" s="26"/>
      <c r="H235" s="26"/>
      <c r="I235" s="26"/>
      <c r="J235" s="26"/>
      <c r="K235" s="26">
        <f>Tabela467979[[#This Row],[Pontos]]*Tabela467979[[#This Row],[m/ponto]]</f>
        <v>45</v>
      </c>
    </row>
    <row r="236" spans="1:12" x14ac:dyDescent="0.2">
      <c r="B236" s="27" t="s">
        <v>6</v>
      </c>
      <c r="K236" s="28">
        <f>SUBTOTAL(109,Tabela467979[Total])</f>
        <v>360</v>
      </c>
    </row>
    <row r="237" spans="1:12" x14ac:dyDescent="0.2">
      <c r="K237" s="28"/>
    </row>
    <row r="238" spans="1:12" x14ac:dyDescent="0.2">
      <c r="B238" s="29" t="s">
        <v>302</v>
      </c>
      <c r="C238" s="150" t="s">
        <v>303</v>
      </c>
      <c r="D238" s="150"/>
      <c r="E238" s="150"/>
      <c r="F238" s="150"/>
      <c r="G238" s="150"/>
      <c r="H238" s="150"/>
      <c r="I238" s="150"/>
      <c r="J238" s="29" t="s">
        <v>243</v>
      </c>
      <c r="K238" s="29" t="s">
        <v>304</v>
      </c>
    </row>
    <row r="239" spans="1:12" x14ac:dyDescent="0.2">
      <c r="B239" s="83" t="str">
        <f>MEDIÇÃO!A90</f>
        <v xml:space="preserve"> 7.3 </v>
      </c>
      <c r="C239" s="152" t="str">
        <f>MEDIÇÃO!D90</f>
        <v>CABO DE COBRE FLEXÍVEL ISOLADO, 2,5 MM², ANTI-CHAMA 450/750 V, PARA CIRCUITOS TERMINAIS - FORNECIMENTO E INSTALAÇÃO. AF  12/2015</v>
      </c>
      <c r="D239" s="152"/>
      <c r="E239" s="152"/>
      <c r="F239" s="152"/>
      <c r="G239" s="152"/>
      <c r="H239" s="152"/>
      <c r="I239" s="152"/>
      <c r="J239" s="83" t="str">
        <f>MEDIÇÃO!E90</f>
        <v>M</v>
      </c>
      <c r="K239" s="84">
        <f>TRUNC(Tabela467980[[#Totals],[Total]],2)</f>
        <v>260</v>
      </c>
      <c r="L239" s="59" t="s">
        <v>465</v>
      </c>
    </row>
    <row r="240" spans="1:12" x14ac:dyDescent="0.2">
      <c r="B240" s="23" t="s">
        <v>0</v>
      </c>
      <c r="C240" s="69" t="s">
        <v>305</v>
      </c>
      <c r="D240" s="23" t="s">
        <v>361</v>
      </c>
      <c r="E240" s="23" t="s">
        <v>362</v>
      </c>
      <c r="F240" s="23" t="s">
        <v>308</v>
      </c>
      <c r="G240" s="23" t="s">
        <v>309</v>
      </c>
      <c r="H240" s="23" t="s">
        <v>310</v>
      </c>
      <c r="I240" s="23" t="s">
        <v>311</v>
      </c>
      <c r="J240" s="23" t="s">
        <v>312</v>
      </c>
      <c r="K240" s="23" t="s">
        <v>6</v>
      </c>
    </row>
    <row r="241" spans="2:12" x14ac:dyDescent="0.2">
      <c r="B241" s="24"/>
      <c r="C241" s="32" t="s">
        <v>619</v>
      </c>
      <c r="D241" s="26">
        <v>1</v>
      </c>
      <c r="E241" s="26">
        <v>10</v>
      </c>
      <c r="F241" s="26"/>
      <c r="G241" s="26"/>
      <c r="H241" s="26"/>
      <c r="I241" s="26"/>
      <c r="J241" s="26"/>
      <c r="K241" s="26">
        <f>Tabela467980[[#This Row],[Pontos]]*Tabela467980[[#This Row],[m/ponto]]</f>
        <v>10</v>
      </c>
    </row>
    <row r="242" spans="2:12" x14ac:dyDescent="0.2">
      <c r="B242" s="24"/>
      <c r="C242" s="32" t="s">
        <v>365</v>
      </c>
      <c r="D242" s="26">
        <v>5</v>
      </c>
      <c r="E242" s="26">
        <v>10</v>
      </c>
      <c r="F242" s="26"/>
      <c r="G242" s="26"/>
      <c r="H242" s="26"/>
      <c r="I242" s="26"/>
      <c r="J242" s="26"/>
      <c r="K242" s="26">
        <f>Tabela467980[[#This Row],[Pontos]]*Tabela467980[[#This Row],[m/ponto]]</f>
        <v>50</v>
      </c>
    </row>
    <row r="243" spans="2:12" x14ac:dyDescent="0.2">
      <c r="B243" s="24"/>
      <c r="C243" s="32" t="s">
        <v>366</v>
      </c>
      <c r="D243" s="26">
        <v>6</v>
      </c>
      <c r="E243" s="26">
        <v>10</v>
      </c>
      <c r="F243" s="26"/>
      <c r="G243" s="26"/>
      <c r="H243" s="26"/>
      <c r="I243" s="26"/>
      <c r="J243" s="26"/>
      <c r="K243" s="26">
        <f>Tabela467980[[#This Row],[Pontos]]*Tabela467980[[#This Row],[m/ponto]]</f>
        <v>60</v>
      </c>
    </row>
    <row r="244" spans="2:12" x14ac:dyDescent="0.2">
      <c r="B244" s="24"/>
      <c r="C244" s="32" t="s">
        <v>367</v>
      </c>
      <c r="D244" s="26">
        <v>3</v>
      </c>
      <c r="E244" s="26">
        <v>10</v>
      </c>
      <c r="F244" s="26"/>
      <c r="G244" s="26"/>
      <c r="H244" s="26"/>
      <c r="I244" s="26"/>
      <c r="J244" s="26"/>
      <c r="K244" s="26">
        <f>Tabela467980[[#This Row],[Pontos]]*Tabela467980[[#This Row],[m/ponto]]</f>
        <v>30</v>
      </c>
    </row>
    <row r="245" spans="2:12" x14ac:dyDescent="0.2">
      <c r="B245" s="24"/>
      <c r="C245" s="32" t="s">
        <v>368</v>
      </c>
      <c r="D245" s="26">
        <v>2</v>
      </c>
      <c r="E245" s="26">
        <v>10</v>
      </c>
      <c r="F245" s="26"/>
      <c r="G245" s="26"/>
      <c r="H245" s="26"/>
      <c r="I245" s="26"/>
      <c r="J245" s="26"/>
      <c r="K245" s="26">
        <f>Tabela467980[[#This Row],[Pontos]]*Tabela467980[[#This Row],[m/ponto]]</f>
        <v>20</v>
      </c>
    </row>
    <row r="246" spans="2:12" x14ac:dyDescent="0.2">
      <c r="B246" s="24"/>
      <c r="C246" s="32" t="s">
        <v>369</v>
      </c>
      <c r="D246" s="26">
        <v>1</v>
      </c>
      <c r="E246" s="26">
        <v>10</v>
      </c>
      <c r="F246" s="26"/>
      <c r="G246" s="26"/>
      <c r="H246" s="26"/>
      <c r="I246" s="26"/>
      <c r="J246" s="26"/>
      <c r="K246" s="26">
        <f>Tabela467980[[#This Row],[Pontos]]*Tabela467980[[#This Row],[m/ponto]]</f>
        <v>10</v>
      </c>
    </row>
    <row r="247" spans="2:12" x14ac:dyDescent="0.2">
      <c r="B247" s="24"/>
      <c r="C247" s="32" t="s">
        <v>370</v>
      </c>
      <c r="D247" s="26">
        <v>1</v>
      </c>
      <c r="E247" s="26">
        <v>10</v>
      </c>
      <c r="F247" s="26"/>
      <c r="G247" s="26"/>
      <c r="H247" s="26"/>
      <c r="I247" s="26"/>
      <c r="J247" s="26"/>
      <c r="K247" s="26">
        <f>Tabela467980[[#This Row],[Pontos]]*Tabela467980[[#This Row],[m/ponto]]</f>
        <v>10</v>
      </c>
    </row>
    <row r="248" spans="2:12" x14ac:dyDescent="0.2">
      <c r="B248" s="24"/>
      <c r="C248" s="32" t="s">
        <v>371</v>
      </c>
      <c r="D248" s="26">
        <v>5</v>
      </c>
      <c r="E248" s="26">
        <v>10</v>
      </c>
      <c r="F248" s="26"/>
      <c r="G248" s="26"/>
      <c r="H248" s="26"/>
      <c r="I248" s="26"/>
      <c r="J248" s="26"/>
      <c r="K248" s="26">
        <f>Tabela467980[[#This Row],[Pontos]]*Tabela467980[[#This Row],[m/ponto]]</f>
        <v>50</v>
      </c>
    </row>
    <row r="249" spans="2:12" x14ac:dyDescent="0.2">
      <c r="B249" s="24"/>
      <c r="C249" s="32" t="s">
        <v>372</v>
      </c>
      <c r="D249" s="26">
        <v>1</v>
      </c>
      <c r="E249" s="26">
        <v>10</v>
      </c>
      <c r="F249" s="26"/>
      <c r="G249" s="26"/>
      <c r="H249" s="26"/>
      <c r="I249" s="26"/>
      <c r="J249" s="26"/>
      <c r="K249" s="26">
        <f>Tabela467980[[#This Row],[Pontos]]*Tabela467980[[#This Row],[m/ponto]]</f>
        <v>10</v>
      </c>
    </row>
    <row r="250" spans="2:12" x14ac:dyDescent="0.2">
      <c r="B250" s="24"/>
      <c r="C250" s="32" t="s">
        <v>373</v>
      </c>
      <c r="D250" s="26">
        <v>1</v>
      </c>
      <c r="E250" s="26">
        <v>10</v>
      </c>
      <c r="F250" s="26"/>
      <c r="G250" s="26"/>
      <c r="H250" s="26"/>
      <c r="I250" s="26"/>
      <c r="J250" s="26"/>
      <c r="K250" s="26">
        <f>Tabela467980[[#This Row],[Pontos]]*Tabela467980[[#This Row],[m/ponto]]</f>
        <v>10</v>
      </c>
    </row>
    <row r="251" spans="2:12" x14ac:dyDescent="0.2">
      <c r="B251" s="27" t="s">
        <v>6</v>
      </c>
      <c r="K251" s="28">
        <f>SUBTOTAL(109,Tabela467980[Total])</f>
        <v>260</v>
      </c>
    </row>
    <row r="252" spans="2:12" x14ac:dyDescent="0.2">
      <c r="K252" s="28"/>
    </row>
    <row r="253" spans="2:12" x14ac:dyDescent="0.2">
      <c r="B253" s="29" t="s">
        <v>302</v>
      </c>
      <c r="C253" s="150" t="s">
        <v>303</v>
      </c>
      <c r="D253" s="150"/>
      <c r="E253" s="150"/>
      <c r="F253" s="150"/>
      <c r="G253" s="150"/>
      <c r="H253" s="150"/>
      <c r="I253" s="150"/>
      <c r="J253" s="29" t="s">
        <v>243</v>
      </c>
      <c r="K253" s="29" t="s">
        <v>304</v>
      </c>
    </row>
    <row r="254" spans="2:12" x14ac:dyDescent="0.2">
      <c r="B254" s="83" t="str">
        <f>MEDIÇÃO!A97</f>
        <v xml:space="preserve"> 7.10 </v>
      </c>
      <c r="C254" s="152" t="str">
        <f>MEDIÇÃO!D97</f>
        <v>ELETRODUTO FLEXÍVEL CORRUGADO REFORÇADO, PVC, DN 25 MM (3/4"), PARA CIRCUITOS TERMINAIS, INSTALADO EM PAREDE - FORNECIMENTO E INSTALAÇÃO. AF  12/2015</v>
      </c>
      <c r="D254" s="152"/>
      <c r="E254" s="152"/>
      <c r="F254" s="152"/>
      <c r="G254" s="152"/>
      <c r="H254" s="152"/>
      <c r="I254" s="152"/>
      <c r="J254" s="83" t="str">
        <f>MEDIÇÃO!E97</f>
        <v>M</v>
      </c>
      <c r="K254" s="84">
        <f>TRUNC(Tabela467969[[#Totals],[Total]],2)</f>
        <v>213</v>
      </c>
      <c r="L254" s="59" t="s">
        <v>465</v>
      </c>
    </row>
    <row r="255" spans="2:12" x14ac:dyDescent="0.2">
      <c r="B255" s="23" t="s">
        <v>0</v>
      </c>
      <c r="C255" s="69" t="s">
        <v>305</v>
      </c>
      <c r="D255" s="23" t="s">
        <v>361</v>
      </c>
      <c r="E255" s="23" t="s">
        <v>362</v>
      </c>
      <c r="F255" s="23" t="s">
        <v>308</v>
      </c>
      <c r="G255" s="23" t="s">
        <v>309</v>
      </c>
      <c r="H255" s="23" t="s">
        <v>310</v>
      </c>
      <c r="I255" s="23" t="s">
        <v>311</v>
      </c>
      <c r="J255" s="23" t="s">
        <v>312</v>
      </c>
      <c r="K255" s="23" t="s">
        <v>6</v>
      </c>
    </row>
    <row r="256" spans="2:12" x14ac:dyDescent="0.2">
      <c r="B256" s="24"/>
      <c r="C256" s="32" t="s">
        <v>409</v>
      </c>
      <c r="D256" s="26">
        <v>21</v>
      </c>
      <c r="E256" s="26">
        <v>3</v>
      </c>
      <c r="F256" s="26"/>
      <c r="G256" s="26"/>
      <c r="H256" s="26"/>
      <c r="I256" s="26"/>
      <c r="J256" s="26"/>
      <c r="K256" s="26">
        <f>Tabela467969[[#This Row],[Pontos]]*Tabela467969[[#This Row],[m/ponto]]</f>
        <v>63</v>
      </c>
    </row>
    <row r="257" spans="2:11" x14ac:dyDescent="0.2">
      <c r="B257" s="24"/>
      <c r="C257" s="32" t="s">
        <v>410</v>
      </c>
      <c r="D257" s="26">
        <v>2</v>
      </c>
      <c r="E257" s="26">
        <v>3</v>
      </c>
      <c r="F257" s="26"/>
      <c r="G257" s="26"/>
      <c r="H257" s="26"/>
      <c r="I257" s="26"/>
      <c r="J257" s="26"/>
      <c r="K257" s="26">
        <f>Tabela467969[[#This Row],[Pontos]]*Tabela467969[[#This Row],[m/ponto]]</f>
        <v>6</v>
      </c>
    </row>
    <row r="258" spans="2:11" x14ac:dyDescent="0.2">
      <c r="B258" s="24"/>
      <c r="C258" s="32" t="s">
        <v>411</v>
      </c>
      <c r="D258" s="26">
        <v>1</v>
      </c>
      <c r="E258" s="26">
        <v>3</v>
      </c>
      <c r="F258" s="26"/>
      <c r="G258" s="26"/>
      <c r="H258" s="26"/>
      <c r="I258" s="26"/>
      <c r="J258" s="26"/>
      <c r="K258" s="26">
        <f>Tabela467969[[#This Row],[Pontos]]*Tabela467969[[#This Row],[m/ponto]]</f>
        <v>3</v>
      </c>
    </row>
    <row r="259" spans="2:11" x14ac:dyDescent="0.2">
      <c r="B259" s="24"/>
      <c r="C259" s="32" t="s">
        <v>412</v>
      </c>
      <c r="D259" s="26">
        <v>5</v>
      </c>
      <c r="E259" s="26">
        <v>3</v>
      </c>
      <c r="F259" s="26"/>
      <c r="G259" s="26"/>
      <c r="H259" s="26"/>
      <c r="I259" s="26"/>
      <c r="J259" s="26"/>
      <c r="K259" s="26">
        <f>Tabela467969[[#This Row],[Pontos]]*Tabela467969[[#This Row],[m/ponto]]</f>
        <v>15</v>
      </c>
    </row>
    <row r="260" spans="2:11" x14ac:dyDescent="0.2">
      <c r="B260" s="24"/>
      <c r="C260" s="32" t="s">
        <v>413</v>
      </c>
      <c r="D260" s="26">
        <v>6</v>
      </c>
      <c r="E260" s="26">
        <v>3</v>
      </c>
      <c r="F260" s="26"/>
      <c r="G260" s="26"/>
      <c r="H260" s="26"/>
      <c r="I260" s="26"/>
      <c r="J260" s="26"/>
      <c r="K260" s="26">
        <f>Tabela467969[[#This Row],[Pontos]]*Tabela467969[[#This Row],[m/ponto]]</f>
        <v>18</v>
      </c>
    </row>
    <row r="261" spans="2:11" x14ac:dyDescent="0.2">
      <c r="B261" s="24"/>
      <c r="C261" s="32" t="s">
        <v>414</v>
      </c>
      <c r="D261" s="26">
        <v>3</v>
      </c>
      <c r="E261" s="26">
        <v>3</v>
      </c>
      <c r="F261" s="26"/>
      <c r="G261" s="26"/>
      <c r="H261" s="26"/>
      <c r="I261" s="26"/>
      <c r="J261" s="26"/>
      <c r="K261" s="26">
        <f>Tabela467969[[#This Row],[Pontos]]*Tabela467969[[#This Row],[m/ponto]]</f>
        <v>9</v>
      </c>
    </row>
    <row r="262" spans="2:11" x14ac:dyDescent="0.2">
      <c r="B262" s="24"/>
      <c r="C262" s="32" t="s">
        <v>415</v>
      </c>
      <c r="D262" s="26">
        <v>2</v>
      </c>
      <c r="E262" s="26">
        <v>3</v>
      </c>
      <c r="F262" s="26"/>
      <c r="G262" s="26"/>
      <c r="H262" s="26"/>
      <c r="I262" s="26"/>
      <c r="J262" s="26"/>
      <c r="K262" s="26">
        <f>Tabela467969[[#This Row],[Pontos]]*Tabela467969[[#This Row],[m/ponto]]</f>
        <v>6</v>
      </c>
    </row>
    <row r="263" spans="2:11" x14ac:dyDescent="0.2">
      <c r="B263" s="24"/>
      <c r="C263" s="32" t="s">
        <v>416</v>
      </c>
      <c r="D263" s="26">
        <v>1</v>
      </c>
      <c r="E263" s="26">
        <v>3</v>
      </c>
      <c r="F263" s="26"/>
      <c r="G263" s="26"/>
      <c r="H263" s="26"/>
      <c r="I263" s="26"/>
      <c r="J263" s="26"/>
      <c r="K263" s="26">
        <f>Tabela467969[[#This Row],[Pontos]]*Tabela467969[[#This Row],[m/ponto]]</f>
        <v>3</v>
      </c>
    </row>
    <row r="264" spans="2:11" x14ac:dyDescent="0.2">
      <c r="B264" s="24"/>
      <c r="C264" s="32" t="s">
        <v>417</v>
      </c>
      <c r="D264" s="26">
        <v>1</v>
      </c>
      <c r="E264" s="26">
        <v>3</v>
      </c>
      <c r="F264" s="26"/>
      <c r="G264" s="26"/>
      <c r="H264" s="26"/>
      <c r="I264" s="26"/>
      <c r="J264" s="26"/>
      <c r="K264" s="26">
        <f>Tabela467969[[#This Row],[Pontos]]*Tabela467969[[#This Row],[m/ponto]]</f>
        <v>3</v>
      </c>
    </row>
    <row r="265" spans="2:11" x14ac:dyDescent="0.2">
      <c r="B265" s="24"/>
      <c r="C265" s="32" t="s">
        <v>418</v>
      </c>
      <c r="D265" s="26">
        <v>5</v>
      </c>
      <c r="E265" s="26">
        <v>3</v>
      </c>
      <c r="F265" s="26"/>
      <c r="G265" s="26"/>
      <c r="H265" s="26"/>
      <c r="I265" s="26"/>
      <c r="J265" s="26"/>
      <c r="K265" s="26">
        <f>Tabela467969[[#This Row],[Pontos]]*Tabela467969[[#This Row],[m/ponto]]</f>
        <v>15</v>
      </c>
    </row>
    <row r="266" spans="2:11" x14ac:dyDescent="0.2">
      <c r="B266" s="24"/>
      <c r="C266" s="32" t="s">
        <v>419</v>
      </c>
      <c r="D266" s="26">
        <v>1</v>
      </c>
      <c r="E266" s="26">
        <v>3</v>
      </c>
      <c r="F266" s="26"/>
      <c r="G266" s="26"/>
      <c r="H266" s="26"/>
      <c r="I266" s="26"/>
      <c r="J266" s="26"/>
      <c r="K266" s="26">
        <f>Tabela467969[[#This Row],[Pontos]]*Tabela467969[[#This Row],[m/ponto]]</f>
        <v>3</v>
      </c>
    </row>
    <row r="267" spans="2:11" x14ac:dyDescent="0.2">
      <c r="B267" s="24"/>
      <c r="C267" s="32" t="s">
        <v>420</v>
      </c>
      <c r="D267" s="26">
        <v>1</v>
      </c>
      <c r="E267" s="26">
        <v>3</v>
      </c>
      <c r="F267" s="26"/>
      <c r="G267" s="26"/>
      <c r="H267" s="26"/>
      <c r="I267" s="26"/>
      <c r="J267" s="26"/>
      <c r="K267" s="26">
        <f>Tabela467969[[#This Row],[Pontos]]*Tabela467969[[#This Row],[m/ponto]]</f>
        <v>3</v>
      </c>
    </row>
    <row r="268" spans="2:11" x14ac:dyDescent="0.2">
      <c r="B268" s="24"/>
      <c r="C268" s="32" t="s">
        <v>421</v>
      </c>
      <c r="D268" s="44">
        <v>12</v>
      </c>
      <c r="E268" s="44">
        <v>2</v>
      </c>
      <c r="F268" s="44"/>
      <c r="G268" s="44"/>
      <c r="H268" s="44"/>
      <c r="I268" s="44"/>
      <c r="J268" s="44"/>
      <c r="K268" s="44">
        <f>Tabela467969[[#This Row],[Pontos]]*Tabela467969[[#This Row],[m/ponto]]</f>
        <v>24</v>
      </c>
    </row>
    <row r="269" spans="2:11" x14ac:dyDescent="0.2">
      <c r="B269" s="24"/>
      <c r="C269" s="32" t="s">
        <v>422</v>
      </c>
      <c r="D269" s="44">
        <v>14</v>
      </c>
      <c r="E269" s="44">
        <v>2</v>
      </c>
      <c r="F269" s="44"/>
      <c r="G269" s="44"/>
      <c r="H269" s="44"/>
      <c r="I269" s="44"/>
      <c r="J269" s="44"/>
      <c r="K269" s="44">
        <f>Tabela467969[[#This Row],[Pontos]]*Tabela467969[[#This Row],[m/ponto]]</f>
        <v>28</v>
      </c>
    </row>
    <row r="270" spans="2:11" x14ac:dyDescent="0.2">
      <c r="B270" s="24"/>
      <c r="C270" s="32" t="s">
        <v>423</v>
      </c>
      <c r="D270" s="44">
        <v>3</v>
      </c>
      <c r="E270" s="44">
        <v>2</v>
      </c>
      <c r="F270" s="44"/>
      <c r="G270" s="44"/>
      <c r="H270" s="44"/>
      <c r="I270" s="44"/>
      <c r="J270" s="44"/>
      <c r="K270" s="44">
        <f>Tabela467969[[#This Row],[Pontos]]*Tabela467969[[#This Row],[m/ponto]]</f>
        <v>6</v>
      </c>
    </row>
    <row r="271" spans="2:11" x14ac:dyDescent="0.2">
      <c r="B271" s="24"/>
      <c r="C271" s="32" t="s">
        <v>424</v>
      </c>
      <c r="D271" s="44">
        <v>4</v>
      </c>
      <c r="E271" s="44">
        <v>2</v>
      </c>
      <c r="F271" s="44"/>
      <c r="G271" s="44"/>
      <c r="H271" s="44"/>
      <c r="I271" s="44"/>
      <c r="J271" s="44"/>
      <c r="K271" s="44">
        <f>Tabela467969[[#This Row],[Pontos]]*Tabela467969[[#This Row],[m/ponto]]</f>
        <v>8</v>
      </c>
    </row>
    <row r="272" spans="2:11" x14ac:dyDescent="0.2">
      <c r="B272" s="46" t="s">
        <v>6</v>
      </c>
      <c r="C272" s="72"/>
      <c r="D272" s="47"/>
      <c r="E272" s="47"/>
      <c r="F272" s="47"/>
      <c r="G272" s="47"/>
      <c r="H272" s="47"/>
      <c r="I272" s="47"/>
      <c r="J272" s="47"/>
      <c r="K272" s="48">
        <f>SUBTOTAL(109,Tabela467969[Total])</f>
        <v>213</v>
      </c>
    </row>
    <row r="273" spans="2:12" x14ac:dyDescent="0.2">
      <c r="K273" s="28"/>
    </row>
    <row r="274" spans="2:12" x14ac:dyDescent="0.2">
      <c r="B274" s="29" t="s">
        <v>302</v>
      </c>
      <c r="C274" s="150" t="s">
        <v>303</v>
      </c>
      <c r="D274" s="150"/>
      <c r="E274" s="150"/>
      <c r="F274" s="150"/>
      <c r="G274" s="150"/>
      <c r="H274" s="150"/>
      <c r="I274" s="150"/>
      <c r="J274" s="29" t="s">
        <v>243</v>
      </c>
      <c r="K274" s="29" t="s">
        <v>304</v>
      </c>
    </row>
    <row r="275" spans="2:12" x14ac:dyDescent="0.2">
      <c r="B275" s="83" t="str">
        <f>MEDIÇÃO!A98</f>
        <v xml:space="preserve"> 7.11 </v>
      </c>
      <c r="C275" s="152" t="str">
        <f>MEDIÇÃO!D98</f>
        <v>INTERRUPTOR SIMPLES (1 MÓDULO), 10A/250V, INCLUINDO SUPORTE E PLACA - FORNECIMENTO E INSTALAÇÃO. AF_12/2015</v>
      </c>
      <c r="D275" s="152"/>
      <c r="E275" s="152"/>
      <c r="F275" s="152"/>
      <c r="G275" s="152"/>
      <c r="H275" s="152"/>
      <c r="I275" s="152"/>
      <c r="J275" s="83" t="str">
        <f>MEDIÇÃO!E98</f>
        <v>UN</v>
      </c>
      <c r="K275" s="84">
        <f>TRUNC(Tabela467991[[#Totals],[Total]],2)</f>
        <v>7</v>
      </c>
      <c r="L275" s="59" t="s">
        <v>454</v>
      </c>
    </row>
    <row r="276" spans="2:12" x14ac:dyDescent="0.2">
      <c r="B276" s="23" t="s">
        <v>0</v>
      </c>
      <c r="C276" s="69" t="s">
        <v>305</v>
      </c>
      <c r="D276" s="23" t="s">
        <v>5</v>
      </c>
      <c r="E276" s="23" t="s">
        <v>307</v>
      </c>
      <c r="F276" s="23" t="s">
        <v>308</v>
      </c>
      <c r="G276" s="23" t="s">
        <v>309</v>
      </c>
      <c r="H276" s="23" t="s">
        <v>310</v>
      </c>
      <c r="I276" s="23" t="s">
        <v>311</v>
      </c>
      <c r="J276" s="23" t="s">
        <v>312</v>
      </c>
      <c r="K276" s="23" t="s">
        <v>6</v>
      </c>
    </row>
    <row r="277" spans="2:12" x14ac:dyDescent="0.2">
      <c r="B277" s="24"/>
      <c r="C277" s="32" t="s">
        <v>375</v>
      </c>
      <c r="D277" s="26">
        <v>1</v>
      </c>
      <c r="E277" s="26"/>
      <c r="F277" s="26"/>
      <c r="G277" s="26"/>
      <c r="H277" s="26"/>
      <c r="I277" s="26"/>
      <c r="J277" s="26"/>
      <c r="K277" s="26">
        <f>D277</f>
        <v>1</v>
      </c>
    </row>
    <row r="278" spans="2:12" x14ac:dyDescent="0.2">
      <c r="B278" s="24"/>
      <c r="C278" s="32" t="s">
        <v>326</v>
      </c>
      <c r="D278" s="44">
        <v>1</v>
      </c>
      <c r="E278" s="44"/>
      <c r="F278" s="44"/>
      <c r="G278" s="44"/>
      <c r="H278" s="44"/>
      <c r="I278" s="44"/>
      <c r="J278" s="44"/>
      <c r="K278" s="44">
        <f>D278</f>
        <v>1</v>
      </c>
    </row>
    <row r="279" spans="2:12" x14ac:dyDescent="0.2">
      <c r="B279" s="24"/>
      <c r="C279" s="32" t="s">
        <v>438</v>
      </c>
      <c r="D279" s="44">
        <v>3</v>
      </c>
      <c r="E279" s="44"/>
      <c r="F279" s="44"/>
      <c r="G279" s="44"/>
      <c r="H279" s="44"/>
      <c r="I279" s="44"/>
      <c r="J279" s="44"/>
      <c r="K279" s="44">
        <f>D279</f>
        <v>3</v>
      </c>
    </row>
    <row r="280" spans="2:12" x14ac:dyDescent="0.2">
      <c r="B280" s="24"/>
      <c r="C280" s="32" t="s">
        <v>456</v>
      </c>
      <c r="D280" s="44">
        <v>2</v>
      </c>
      <c r="E280" s="44"/>
      <c r="F280" s="44"/>
      <c r="G280" s="44"/>
      <c r="H280" s="44"/>
      <c r="I280" s="44"/>
      <c r="J280" s="44"/>
      <c r="K280" s="44">
        <f>D280</f>
        <v>2</v>
      </c>
    </row>
    <row r="281" spans="2:12" x14ac:dyDescent="0.2">
      <c r="B281" s="46" t="s">
        <v>6</v>
      </c>
      <c r="C281" s="72"/>
      <c r="D281" s="47"/>
      <c r="E281" s="47"/>
      <c r="F281" s="47"/>
      <c r="G281" s="47"/>
      <c r="H281" s="47"/>
      <c r="I281" s="47"/>
      <c r="J281" s="47"/>
      <c r="K281" s="48">
        <f>SUBTOTAL(109,Tabela467991[Total])</f>
        <v>7</v>
      </c>
    </row>
    <row r="282" spans="2:12" x14ac:dyDescent="0.2">
      <c r="K282" s="28"/>
    </row>
    <row r="283" spans="2:12" x14ac:dyDescent="0.2">
      <c r="B283" s="29" t="s">
        <v>302</v>
      </c>
      <c r="C283" s="150" t="s">
        <v>303</v>
      </c>
      <c r="D283" s="150"/>
      <c r="E283" s="150"/>
      <c r="F283" s="150"/>
      <c r="G283" s="150"/>
      <c r="H283" s="150"/>
      <c r="I283" s="150"/>
      <c r="J283" s="29" t="s">
        <v>243</v>
      </c>
      <c r="K283" s="29" t="s">
        <v>304</v>
      </c>
    </row>
    <row r="284" spans="2:12" x14ac:dyDescent="0.2">
      <c r="B284" s="83" t="str">
        <f>MEDIÇÃO!A99</f>
        <v xml:space="preserve"> 7.12 </v>
      </c>
      <c r="C284" s="152" t="str">
        <f>MEDIÇÃO!D99</f>
        <v>INTERRUPTOR SIMPLES (2 MÓDULOS) COM INTERRUPTOR PARALELO (1 MÓDULO), 10A/250V, INCLUINDO SUPORTE E PLACA - FORNECIMENTO E INSTALAÇÃO. AF 12/2015</v>
      </c>
      <c r="D284" s="152"/>
      <c r="E284" s="152"/>
      <c r="F284" s="152"/>
      <c r="G284" s="152"/>
      <c r="H284" s="152"/>
      <c r="I284" s="152"/>
      <c r="J284" s="83" t="str">
        <f>MEDIÇÃO!E99</f>
        <v>UN</v>
      </c>
      <c r="K284" s="84">
        <f>TRUNC(Tabela467983[[#Totals],[Total]],2)</f>
        <v>7</v>
      </c>
      <c r="L284" s="59" t="s">
        <v>465</v>
      </c>
    </row>
    <row r="285" spans="2:12" x14ac:dyDescent="0.2">
      <c r="B285" s="23" t="s">
        <v>0</v>
      </c>
      <c r="C285" s="69" t="s">
        <v>305</v>
      </c>
      <c r="D285" s="23" t="s">
        <v>5</v>
      </c>
      <c r="E285" s="23" t="s">
        <v>307</v>
      </c>
      <c r="F285" s="23" t="s">
        <v>308</v>
      </c>
      <c r="G285" s="23" t="s">
        <v>309</v>
      </c>
      <c r="H285" s="23" t="s">
        <v>310</v>
      </c>
      <c r="I285" s="23" t="s">
        <v>311</v>
      </c>
      <c r="J285" s="23" t="s">
        <v>312</v>
      </c>
      <c r="K285" s="23" t="s">
        <v>6</v>
      </c>
    </row>
    <row r="286" spans="2:12" x14ac:dyDescent="0.2">
      <c r="B286" s="24"/>
      <c r="C286" s="32" t="s">
        <v>317</v>
      </c>
      <c r="D286" s="26">
        <v>1</v>
      </c>
      <c r="E286" s="26"/>
      <c r="F286" s="26"/>
      <c r="G286" s="26"/>
      <c r="H286" s="26"/>
      <c r="I286" s="26"/>
      <c r="J286" s="26"/>
      <c r="K286" s="26">
        <f t="shared" ref="K286:K291" si="3">D286</f>
        <v>1</v>
      </c>
    </row>
    <row r="287" spans="2:12" x14ac:dyDescent="0.2">
      <c r="B287" s="24"/>
      <c r="C287" s="32" t="s">
        <v>374</v>
      </c>
      <c r="D287" s="26">
        <v>1</v>
      </c>
      <c r="E287" s="26"/>
      <c r="F287" s="26"/>
      <c r="G287" s="26"/>
      <c r="H287" s="26"/>
      <c r="I287" s="26"/>
      <c r="J287" s="26"/>
      <c r="K287" s="26">
        <f t="shared" si="3"/>
        <v>1</v>
      </c>
    </row>
    <row r="288" spans="2:12" x14ac:dyDescent="0.2">
      <c r="B288" s="24"/>
      <c r="C288" s="32" t="s">
        <v>326</v>
      </c>
      <c r="D288" s="26">
        <v>2</v>
      </c>
      <c r="E288" s="26"/>
      <c r="F288" s="26"/>
      <c r="G288" s="26"/>
      <c r="H288" s="26"/>
      <c r="I288" s="26"/>
      <c r="J288" s="26"/>
      <c r="K288" s="26">
        <f t="shared" si="3"/>
        <v>2</v>
      </c>
    </row>
    <row r="289" spans="2:12" x14ac:dyDescent="0.2">
      <c r="B289" s="24"/>
      <c r="C289" s="32" t="s">
        <v>327</v>
      </c>
      <c r="D289" s="26">
        <v>1</v>
      </c>
      <c r="E289" s="26"/>
      <c r="F289" s="26"/>
      <c r="G289" s="26"/>
      <c r="H289" s="26"/>
      <c r="I289" s="26"/>
      <c r="J289" s="26"/>
      <c r="K289" s="26">
        <f t="shared" si="3"/>
        <v>1</v>
      </c>
    </row>
    <row r="290" spans="2:12" x14ac:dyDescent="0.2">
      <c r="B290" s="24"/>
      <c r="C290" s="32" t="s">
        <v>456</v>
      </c>
      <c r="D290" s="44">
        <v>1</v>
      </c>
      <c r="E290" s="44"/>
      <c r="F290" s="44"/>
      <c r="G290" s="44"/>
      <c r="H290" s="44"/>
      <c r="I290" s="44"/>
      <c r="J290" s="44"/>
      <c r="K290" s="44">
        <f t="shared" si="3"/>
        <v>1</v>
      </c>
    </row>
    <row r="291" spans="2:12" x14ac:dyDescent="0.2">
      <c r="B291" s="24"/>
      <c r="C291" s="32" t="s">
        <v>457</v>
      </c>
      <c r="D291" s="44">
        <v>1</v>
      </c>
      <c r="E291" s="44"/>
      <c r="F291" s="44"/>
      <c r="G291" s="44"/>
      <c r="H291" s="44"/>
      <c r="I291" s="44"/>
      <c r="J291" s="44"/>
      <c r="K291" s="44">
        <f t="shared" si="3"/>
        <v>1</v>
      </c>
    </row>
    <row r="292" spans="2:12" x14ac:dyDescent="0.2">
      <c r="B292" s="46" t="s">
        <v>6</v>
      </c>
      <c r="C292" s="72"/>
      <c r="D292" s="47"/>
      <c r="E292" s="47"/>
      <c r="F292" s="47"/>
      <c r="G292" s="47"/>
      <c r="H292" s="47"/>
      <c r="I292" s="47"/>
      <c r="J292" s="47"/>
      <c r="K292" s="48">
        <f>SUBTOTAL(109,Tabela467983[Total])</f>
        <v>7</v>
      </c>
    </row>
    <row r="293" spans="2:12" x14ac:dyDescent="0.2">
      <c r="K293" s="28"/>
    </row>
    <row r="294" spans="2:12" x14ac:dyDescent="0.2">
      <c r="B294" s="29" t="s">
        <v>302</v>
      </c>
      <c r="C294" s="150" t="s">
        <v>303</v>
      </c>
      <c r="D294" s="150"/>
      <c r="E294" s="150"/>
      <c r="F294" s="150"/>
      <c r="G294" s="150"/>
      <c r="H294" s="150"/>
      <c r="I294" s="150"/>
      <c r="J294" s="29" t="s">
        <v>243</v>
      </c>
      <c r="K294" s="29" t="s">
        <v>304</v>
      </c>
    </row>
    <row r="295" spans="2:12" x14ac:dyDescent="0.2">
      <c r="B295" s="83" t="str">
        <f>MEDIÇÃO!A101</f>
        <v xml:space="preserve"> 7.14 </v>
      </c>
      <c r="C295" s="152" t="str">
        <f>MEDIÇÃO!D101</f>
        <v>TOMADA MÉDIA DE EMBUTIR (2 MÓDULOS), 2P+T 20 A, INCLUINDO SUPORTE E PLACA - FORNECIMENTO E INSTALAÇÃO. AF_12/2015</v>
      </c>
      <c r="D295" s="152"/>
      <c r="E295" s="152"/>
      <c r="F295" s="152"/>
      <c r="G295" s="152"/>
      <c r="H295" s="152"/>
      <c r="I295" s="152"/>
      <c r="J295" s="83" t="str">
        <f>MEDIÇÃO!E101</f>
        <v>UN</v>
      </c>
      <c r="K295" s="84">
        <f>TRUNC(Tabela467981[[#Totals],[Total]],2)</f>
        <v>31</v>
      </c>
      <c r="L295" s="59" t="s">
        <v>465</v>
      </c>
    </row>
    <row r="296" spans="2:12" x14ac:dyDescent="0.2">
      <c r="B296" s="23" t="s">
        <v>0</v>
      </c>
      <c r="C296" s="69" t="s">
        <v>305</v>
      </c>
      <c r="D296" s="23" t="s">
        <v>5</v>
      </c>
      <c r="E296" s="23" t="s">
        <v>307</v>
      </c>
      <c r="F296" s="23" t="s">
        <v>308</v>
      </c>
      <c r="G296" s="23" t="s">
        <v>309</v>
      </c>
      <c r="H296" s="23" t="s">
        <v>310</v>
      </c>
      <c r="I296" s="23" t="s">
        <v>311</v>
      </c>
      <c r="J296" s="23" t="s">
        <v>312</v>
      </c>
      <c r="K296" s="23" t="s">
        <v>6</v>
      </c>
    </row>
    <row r="297" spans="2:12" x14ac:dyDescent="0.2">
      <c r="B297" s="24"/>
      <c r="C297" s="32" t="s">
        <v>317</v>
      </c>
      <c r="D297" s="26">
        <v>7</v>
      </c>
      <c r="E297" s="26"/>
      <c r="F297" s="26"/>
      <c r="G297" s="26"/>
      <c r="H297" s="26"/>
      <c r="I297" s="26"/>
      <c r="J297" s="26"/>
      <c r="K297" s="26">
        <f t="shared" ref="K297:K304" si="4">D297</f>
        <v>7</v>
      </c>
    </row>
    <row r="298" spans="2:12" x14ac:dyDescent="0.2">
      <c r="B298" s="24"/>
      <c r="C298" s="32" t="s">
        <v>374</v>
      </c>
      <c r="D298" s="26">
        <v>6</v>
      </c>
      <c r="E298" s="26"/>
      <c r="F298" s="26"/>
      <c r="G298" s="26"/>
      <c r="H298" s="26"/>
      <c r="I298" s="26"/>
      <c r="J298" s="26"/>
      <c r="K298" s="26">
        <f t="shared" si="4"/>
        <v>6</v>
      </c>
    </row>
    <row r="299" spans="2:12" x14ac:dyDescent="0.2">
      <c r="B299" s="24"/>
      <c r="C299" s="32" t="s">
        <v>375</v>
      </c>
      <c r="D299" s="26">
        <v>2</v>
      </c>
      <c r="E299" s="26"/>
      <c r="F299" s="26"/>
      <c r="G299" s="26"/>
      <c r="H299" s="26"/>
      <c r="I299" s="26"/>
      <c r="J299" s="26"/>
      <c r="K299" s="26">
        <f t="shared" si="4"/>
        <v>2</v>
      </c>
    </row>
    <row r="300" spans="2:12" x14ac:dyDescent="0.2">
      <c r="B300" s="24"/>
      <c r="C300" s="32" t="s">
        <v>326</v>
      </c>
      <c r="D300" s="26">
        <v>3</v>
      </c>
      <c r="E300" s="26"/>
      <c r="F300" s="26"/>
      <c r="G300" s="26"/>
      <c r="H300" s="26"/>
      <c r="I300" s="26"/>
      <c r="J300" s="26"/>
      <c r="K300" s="26">
        <f t="shared" si="4"/>
        <v>3</v>
      </c>
    </row>
    <row r="301" spans="2:12" x14ac:dyDescent="0.2">
      <c r="B301" s="24"/>
      <c r="C301" s="32" t="s">
        <v>327</v>
      </c>
      <c r="D301" s="26">
        <v>3</v>
      </c>
      <c r="E301" s="26"/>
      <c r="F301" s="26"/>
      <c r="G301" s="26"/>
      <c r="H301" s="26"/>
      <c r="I301" s="26"/>
      <c r="J301" s="26"/>
      <c r="K301" s="26">
        <f t="shared" si="4"/>
        <v>3</v>
      </c>
    </row>
    <row r="302" spans="2:12" x14ac:dyDescent="0.2">
      <c r="B302" s="24"/>
      <c r="C302" s="32" t="s">
        <v>438</v>
      </c>
      <c r="D302" s="44">
        <v>4</v>
      </c>
      <c r="E302" s="44"/>
      <c r="F302" s="44"/>
      <c r="G302" s="44"/>
      <c r="H302" s="44"/>
      <c r="I302" s="44"/>
      <c r="J302" s="44"/>
      <c r="K302" s="44">
        <f t="shared" si="4"/>
        <v>4</v>
      </c>
    </row>
    <row r="303" spans="2:12" x14ac:dyDescent="0.2">
      <c r="B303" s="24"/>
      <c r="C303" s="32" t="s">
        <v>456</v>
      </c>
      <c r="D303" s="44">
        <v>4</v>
      </c>
      <c r="E303" s="44"/>
      <c r="F303" s="44"/>
      <c r="G303" s="44"/>
      <c r="H303" s="44"/>
      <c r="I303" s="44"/>
      <c r="J303" s="44"/>
      <c r="K303" s="44">
        <f t="shared" si="4"/>
        <v>4</v>
      </c>
    </row>
    <row r="304" spans="2:12" x14ac:dyDescent="0.2">
      <c r="B304" s="24"/>
      <c r="C304" s="32" t="s">
        <v>457</v>
      </c>
      <c r="D304" s="44">
        <v>2</v>
      </c>
      <c r="E304" s="44"/>
      <c r="F304" s="44"/>
      <c r="G304" s="44"/>
      <c r="H304" s="44"/>
      <c r="I304" s="44"/>
      <c r="J304" s="44"/>
      <c r="K304" s="44">
        <f t="shared" si="4"/>
        <v>2</v>
      </c>
    </row>
    <row r="305" spans="2:12" x14ac:dyDescent="0.2">
      <c r="B305" s="46" t="s">
        <v>6</v>
      </c>
      <c r="C305" s="72"/>
      <c r="D305" s="47"/>
      <c r="E305" s="47"/>
      <c r="F305" s="47"/>
      <c r="G305" s="47"/>
      <c r="H305" s="47"/>
      <c r="I305" s="47"/>
      <c r="J305" s="47"/>
      <c r="K305" s="48">
        <f>SUBTOTAL(109,Tabela467981[Total])</f>
        <v>31</v>
      </c>
    </row>
    <row r="306" spans="2:12" x14ac:dyDescent="0.2">
      <c r="K306" s="28"/>
    </row>
    <row r="307" spans="2:12" x14ac:dyDescent="0.2">
      <c r="B307" s="29" t="s">
        <v>302</v>
      </c>
      <c r="C307" s="150" t="s">
        <v>303</v>
      </c>
      <c r="D307" s="150"/>
      <c r="E307" s="150"/>
      <c r="F307" s="150"/>
      <c r="G307" s="150"/>
      <c r="H307" s="150"/>
      <c r="I307" s="150"/>
      <c r="J307" s="29" t="s">
        <v>243</v>
      </c>
      <c r="K307" s="29" t="s">
        <v>304</v>
      </c>
    </row>
    <row r="308" spans="2:12" x14ac:dyDescent="0.2">
      <c r="B308" s="83" t="str">
        <f>MEDIÇÃO!A102</f>
        <v xml:space="preserve"> 7.15 </v>
      </c>
      <c r="C308" s="152" t="str">
        <f>MEDIÇÃO!D102</f>
        <v>REMOÇÃO DE LUMINÁRIAS, DE FORMA MANUAL, SEM REAPROVEITAMENTO. AF  12/2017</v>
      </c>
      <c r="D308" s="152"/>
      <c r="E308" s="152"/>
      <c r="F308" s="152"/>
      <c r="G308" s="152"/>
      <c r="H308" s="152"/>
      <c r="I308" s="152"/>
      <c r="J308" s="83" t="str">
        <f>MEDIÇÃO!E102</f>
        <v>UN</v>
      </c>
      <c r="K308" s="84">
        <f>TRUNC(Tabela467921[[#Totals],[Total]],2)</f>
        <v>22</v>
      </c>
      <c r="L308" s="59" t="s">
        <v>454</v>
      </c>
    </row>
    <row r="309" spans="2:12" x14ac:dyDescent="0.2">
      <c r="B309" s="23" t="s">
        <v>0</v>
      </c>
      <c r="C309" s="69" t="s">
        <v>305</v>
      </c>
      <c r="D309" s="23" t="s">
        <v>5</v>
      </c>
      <c r="E309" s="23" t="s">
        <v>307</v>
      </c>
      <c r="F309" s="23" t="s">
        <v>308</v>
      </c>
      <c r="G309" s="23" t="s">
        <v>309</v>
      </c>
      <c r="H309" s="23" t="s">
        <v>310</v>
      </c>
      <c r="I309" s="23" t="s">
        <v>311</v>
      </c>
      <c r="J309" s="23" t="s">
        <v>312</v>
      </c>
      <c r="K309" s="23" t="s">
        <v>6</v>
      </c>
    </row>
    <row r="310" spans="2:12" x14ac:dyDescent="0.2">
      <c r="B310" s="24"/>
      <c r="C310" s="32" t="s">
        <v>317</v>
      </c>
      <c r="D310" s="26">
        <v>12</v>
      </c>
      <c r="E310" s="26"/>
      <c r="F310" s="26"/>
      <c r="G310" s="26"/>
      <c r="H310" s="26"/>
      <c r="I310" s="26"/>
      <c r="J310" s="26"/>
      <c r="K310" s="26">
        <f>D310</f>
        <v>12</v>
      </c>
    </row>
    <row r="311" spans="2:12" x14ac:dyDescent="0.2">
      <c r="B311" s="24"/>
      <c r="C311" s="32" t="s">
        <v>326</v>
      </c>
      <c r="D311" s="26">
        <v>9</v>
      </c>
      <c r="E311" s="26"/>
      <c r="F311" s="26"/>
      <c r="G311" s="26"/>
      <c r="H311" s="26"/>
      <c r="I311" s="26"/>
      <c r="J311" s="26"/>
      <c r="K311" s="26">
        <f>D311</f>
        <v>9</v>
      </c>
    </row>
    <row r="312" spans="2:12" x14ac:dyDescent="0.2">
      <c r="B312" s="24"/>
      <c r="C312" s="32" t="s">
        <v>327</v>
      </c>
      <c r="D312" s="26">
        <v>1</v>
      </c>
      <c r="E312" s="26"/>
      <c r="F312" s="26"/>
      <c r="G312" s="26"/>
      <c r="H312" s="26"/>
      <c r="I312" s="26"/>
      <c r="J312" s="26"/>
      <c r="K312" s="26">
        <f>D312</f>
        <v>1</v>
      </c>
    </row>
    <row r="313" spans="2:12" x14ac:dyDescent="0.2">
      <c r="B313" s="27" t="s">
        <v>6</v>
      </c>
      <c r="K313" s="28">
        <f>SUBTOTAL(109,Tabela467921[Total])</f>
        <v>22</v>
      </c>
    </row>
    <row r="314" spans="2:12" x14ac:dyDescent="0.2">
      <c r="K314" s="28"/>
    </row>
    <row r="315" spans="2:12" x14ac:dyDescent="0.2">
      <c r="B315" s="29" t="s">
        <v>302</v>
      </c>
      <c r="C315" s="150" t="s">
        <v>303</v>
      </c>
      <c r="D315" s="150"/>
      <c r="E315" s="150"/>
      <c r="F315" s="150"/>
      <c r="G315" s="150"/>
      <c r="H315" s="150"/>
      <c r="I315" s="150"/>
      <c r="J315" s="29" t="s">
        <v>243</v>
      </c>
      <c r="K315" s="29" t="s">
        <v>304</v>
      </c>
    </row>
    <row r="316" spans="2:12" x14ac:dyDescent="0.2">
      <c r="B316" s="83" t="str">
        <f>MEDIÇÃO!A105</f>
        <v xml:space="preserve"> 7.18 </v>
      </c>
      <c r="C316" s="152" t="str">
        <f>MEDIÇÃO!D105</f>
        <v>CAIXA RETANGULAR 4" X 2" MÉDIA (1,30 M DO PISO), PVC, INSTALADA EM PAREDE - FORNECIMENTO E INSTALAÇÃO. AF_12/2015</v>
      </c>
      <c r="D316" s="152"/>
      <c r="E316" s="152"/>
      <c r="F316" s="152"/>
      <c r="G316" s="152"/>
      <c r="H316" s="152"/>
      <c r="I316" s="152"/>
      <c r="J316" s="83" t="str">
        <f>MEDIÇÃO!E105</f>
        <v>UN</v>
      </c>
      <c r="K316" s="84">
        <f>TRUNC(Tabela467978[[#Totals],[Total]],2)</f>
        <v>27</v>
      </c>
      <c r="L316" s="59" t="s">
        <v>454</v>
      </c>
    </row>
    <row r="317" spans="2:12" x14ac:dyDescent="0.2">
      <c r="B317" s="23" t="s">
        <v>0</v>
      </c>
      <c r="C317" s="69" t="s">
        <v>305</v>
      </c>
      <c r="D317" s="23" t="s">
        <v>361</v>
      </c>
      <c r="E317" s="23" t="s">
        <v>307</v>
      </c>
      <c r="F317" s="23" t="s">
        <v>308</v>
      </c>
      <c r="G317" s="23" t="s">
        <v>309</v>
      </c>
      <c r="H317" s="23" t="s">
        <v>310</v>
      </c>
      <c r="I317" s="23" t="s">
        <v>311</v>
      </c>
      <c r="J317" s="23" t="s">
        <v>312</v>
      </c>
      <c r="K317" s="23" t="s">
        <v>6</v>
      </c>
    </row>
    <row r="318" spans="2:12" x14ac:dyDescent="0.2">
      <c r="B318" s="24"/>
      <c r="C318" s="32" t="s">
        <v>363</v>
      </c>
      <c r="D318" s="26">
        <v>21</v>
      </c>
      <c r="E318" s="26"/>
      <c r="F318" s="26"/>
      <c r="G318" s="26"/>
      <c r="H318" s="26"/>
      <c r="I318" s="26"/>
      <c r="J318" s="26"/>
      <c r="K318" s="26">
        <f>D318</f>
        <v>21</v>
      </c>
    </row>
    <row r="319" spans="2:12" x14ac:dyDescent="0.2">
      <c r="B319" s="24"/>
      <c r="C319" s="32" t="s">
        <v>364</v>
      </c>
      <c r="D319" s="26">
        <v>1</v>
      </c>
      <c r="E319" s="26"/>
      <c r="F319" s="26"/>
      <c r="G319" s="26"/>
      <c r="H319" s="26"/>
      <c r="I319" s="26"/>
      <c r="J319" s="26"/>
      <c r="K319" s="26">
        <f>D319</f>
        <v>1</v>
      </c>
    </row>
    <row r="320" spans="2:12" x14ac:dyDescent="0.2">
      <c r="B320" s="24"/>
      <c r="C320" s="32" t="s">
        <v>365</v>
      </c>
      <c r="D320" s="26">
        <v>5</v>
      </c>
      <c r="E320" s="26"/>
      <c r="F320" s="26"/>
      <c r="G320" s="26"/>
      <c r="H320" s="26"/>
      <c r="I320" s="26"/>
      <c r="J320" s="26"/>
      <c r="K320" s="26">
        <f>D320</f>
        <v>5</v>
      </c>
    </row>
    <row r="321" spans="2:12" x14ac:dyDescent="0.2">
      <c r="B321" s="27" t="s">
        <v>6</v>
      </c>
      <c r="K321" s="28">
        <f>SUBTOTAL(109,Tabela467978[Total])</f>
        <v>27</v>
      </c>
    </row>
    <row r="322" spans="2:12" x14ac:dyDescent="0.2">
      <c r="K322" s="28"/>
    </row>
    <row r="323" spans="2:12" x14ac:dyDescent="0.2">
      <c r="B323" s="29" t="s">
        <v>302</v>
      </c>
      <c r="C323" s="150" t="s">
        <v>303</v>
      </c>
      <c r="D323" s="150"/>
      <c r="E323" s="150"/>
      <c r="F323" s="150"/>
      <c r="G323" s="150"/>
      <c r="H323" s="150"/>
      <c r="I323" s="150"/>
      <c r="J323" s="29" t="s">
        <v>243</v>
      </c>
      <c r="K323" s="29" t="s">
        <v>304</v>
      </c>
    </row>
    <row r="324" spans="2:12" x14ac:dyDescent="0.2">
      <c r="B324" s="83" t="str">
        <f>MEDIÇÃO!A106</f>
        <v xml:space="preserve"> 7.19 </v>
      </c>
      <c r="C324" s="152" t="str">
        <f>MEDIÇÃO!D106</f>
        <v>CABO ELETRÔNICO CATEGORIA 6, INSTALADO EM EDIFICAÇÃO INSTITUCIONAL - FORNECIMENTO E INSTALAÇÃO. AF_11/2019</v>
      </c>
      <c r="D324" s="152"/>
      <c r="E324" s="152"/>
      <c r="F324" s="152"/>
      <c r="G324" s="152"/>
      <c r="H324" s="152"/>
      <c r="I324" s="152"/>
      <c r="J324" s="83" t="str">
        <f>MEDIÇÃO!E106</f>
        <v>M</v>
      </c>
      <c r="K324" s="84">
        <f>TRUNC(Tabela467993[[#Totals],[Total]],2)</f>
        <v>330</v>
      </c>
      <c r="L324" s="59" t="s">
        <v>454</v>
      </c>
    </row>
    <row r="325" spans="2:12" x14ac:dyDescent="0.2">
      <c r="B325" s="23" t="s">
        <v>0</v>
      </c>
      <c r="C325" s="69" t="s">
        <v>305</v>
      </c>
      <c r="D325" s="23" t="s">
        <v>5</v>
      </c>
      <c r="E325" s="23" t="s">
        <v>362</v>
      </c>
      <c r="F325" s="23" t="s">
        <v>308</v>
      </c>
      <c r="G325" s="23" t="s">
        <v>309</v>
      </c>
      <c r="H325" s="23" t="s">
        <v>310</v>
      </c>
      <c r="I325" s="23" t="s">
        <v>311</v>
      </c>
      <c r="J325" s="23" t="s">
        <v>312</v>
      </c>
      <c r="K325" s="23" t="s">
        <v>6</v>
      </c>
    </row>
    <row r="326" spans="2:12" x14ac:dyDescent="0.2">
      <c r="B326" s="24"/>
      <c r="C326" s="32" t="s">
        <v>317</v>
      </c>
      <c r="D326" s="26">
        <v>16</v>
      </c>
      <c r="E326" s="26">
        <v>15</v>
      </c>
      <c r="F326" s="26"/>
      <c r="G326" s="26"/>
      <c r="H326" s="26"/>
      <c r="I326" s="26"/>
      <c r="J326" s="26"/>
      <c r="K326" s="26">
        <f>Tabela467993[[#This Row],[Quant.]]*Tabela467993[[#This Row],[m/ponto]]</f>
        <v>240</v>
      </c>
    </row>
    <row r="327" spans="2:12" x14ac:dyDescent="0.2">
      <c r="B327" s="24"/>
      <c r="C327" s="32" t="s">
        <v>374</v>
      </c>
      <c r="D327" s="26">
        <v>4</v>
      </c>
      <c r="E327" s="26">
        <v>15</v>
      </c>
      <c r="F327" s="26"/>
      <c r="G327" s="26"/>
      <c r="H327" s="26"/>
      <c r="I327" s="26"/>
      <c r="J327" s="26"/>
      <c r="K327" s="26">
        <f>Tabela467993[[#This Row],[Quant.]]*Tabela467993[[#This Row],[m/ponto]]</f>
        <v>60</v>
      </c>
    </row>
    <row r="328" spans="2:12" x14ac:dyDescent="0.2">
      <c r="B328" s="24"/>
      <c r="C328" s="32" t="s">
        <v>375</v>
      </c>
      <c r="D328" s="26">
        <v>2</v>
      </c>
      <c r="E328" s="26">
        <v>15</v>
      </c>
      <c r="F328" s="26"/>
      <c r="G328" s="26"/>
      <c r="H328" s="26"/>
      <c r="I328" s="26"/>
      <c r="J328" s="26"/>
      <c r="K328" s="26">
        <f>Tabela467993[[#This Row],[Quant.]]*Tabela467993[[#This Row],[m/ponto]]</f>
        <v>30</v>
      </c>
    </row>
    <row r="329" spans="2:12" x14ac:dyDescent="0.2">
      <c r="B329" s="27" t="s">
        <v>6</v>
      </c>
      <c r="K329" s="28">
        <f>SUBTOTAL(109,Tabela467993[Total])</f>
        <v>330</v>
      </c>
    </row>
    <row r="330" spans="2:12" x14ac:dyDescent="0.2">
      <c r="K330" s="28"/>
    </row>
    <row r="331" spans="2:12" x14ac:dyDescent="0.2">
      <c r="B331" s="29" t="s">
        <v>302</v>
      </c>
      <c r="C331" s="150" t="s">
        <v>303</v>
      </c>
      <c r="D331" s="150"/>
      <c r="E331" s="150"/>
      <c r="F331" s="150"/>
      <c r="G331" s="150"/>
      <c r="H331" s="150"/>
      <c r="I331" s="150"/>
      <c r="J331" s="29" t="s">
        <v>243</v>
      </c>
      <c r="K331" s="29" t="s">
        <v>304</v>
      </c>
    </row>
    <row r="332" spans="2:12" x14ac:dyDescent="0.2">
      <c r="B332" s="83" t="str">
        <f>MEDIÇÃO!A107</f>
        <v xml:space="preserve"> 7.20 </v>
      </c>
      <c r="C332" s="152" t="str">
        <f>MEDIÇÃO!D107</f>
        <v>TOMADA DE REDE RJ45 - FORNECIMENTO E INSTALAÇÃO. AF_11/2019</v>
      </c>
      <c r="D332" s="152"/>
      <c r="E332" s="152"/>
      <c r="F332" s="152"/>
      <c r="G332" s="152"/>
      <c r="H332" s="152"/>
      <c r="I332" s="152"/>
      <c r="J332" s="83" t="str">
        <f>MEDIÇÃO!E107</f>
        <v>UN</v>
      </c>
      <c r="K332" s="84">
        <f>TRUNC(Tabela467994[[#Totals],[Total]],2)</f>
        <v>48</v>
      </c>
      <c r="L332" s="59" t="s">
        <v>465</v>
      </c>
    </row>
    <row r="333" spans="2:12" x14ac:dyDescent="0.2">
      <c r="B333" s="23" t="s">
        <v>0</v>
      </c>
      <c r="C333" s="69" t="s">
        <v>305</v>
      </c>
      <c r="D333" s="23" t="s">
        <v>5</v>
      </c>
      <c r="E333" s="23" t="s">
        <v>307</v>
      </c>
      <c r="F333" s="23" t="s">
        <v>308</v>
      </c>
      <c r="G333" s="23" t="s">
        <v>309</v>
      </c>
      <c r="H333" s="23" t="s">
        <v>310</v>
      </c>
      <c r="I333" s="23" t="s">
        <v>311</v>
      </c>
      <c r="J333" s="23" t="s">
        <v>312</v>
      </c>
      <c r="K333" s="23" t="s">
        <v>6</v>
      </c>
    </row>
    <row r="334" spans="2:12" x14ac:dyDescent="0.2">
      <c r="B334" s="24"/>
      <c r="C334" s="32" t="s">
        <v>317</v>
      </c>
      <c r="D334" s="26">
        <f>16+23</f>
        <v>39</v>
      </c>
      <c r="E334" s="26"/>
      <c r="F334" s="26"/>
      <c r="G334" s="26"/>
      <c r="H334" s="26"/>
      <c r="I334" s="26"/>
      <c r="J334" s="26"/>
      <c r="K334" s="26">
        <f t="shared" ref="K334:K339" si="5">D334</f>
        <v>39</v>
      </c>
    </row>
    <row r="335" spans="2:12" x14ac:dyDescent="0.2">
      <c r="B335" s="24"/>
      <c r="C335" s="32" t="s">
        <v>376</v>
      </c>
      <c r="D335" s="26">
        <v>4</v>
      </c>
      <c r="E335" s="26"/>
      <c r="F335" s="26"/>
      <c r="G335" s="26"/>
      <c r="H335" s="26"/>
      <c r="I335" s="26"/>
      <c r="J335" s="26"/>
      <c r="K335" s="26">
        <f t="shared" si="5"/>
        <v>4</v>
      </c>
    </row>
    <row r="336" spans="2:12" x14ac:dyDescent="0.2">
      <c r="B336" s="24"/>
      <c r="C336" s="32" t="s">
        <v>375</v>
      </c>
      <c r="D336" s="26">
        <v>2</v>
      </c>
      <c r="E336" s="26"/>
      <c r="F336" s="26"/>
      <c r="G336" s="26"/>
      <c r="H336" s="26"/>
      <c r="I336" s="26"/>
      <c r="J336" s="26"/>
      <c r="K336" s="26">
        <f t="shared" si="5"/>
        <v>2</v>
      </c>
    </row>
    <row r="337" spans="2:12" x14ac:dyDescent="0.2">
      <c r="B337" s="24"/>
      <c r="C337" s="32" t="s">
        <v>326</v>
      </c>
      <c r="D337" s="44">
        <v>1</v>
      </c>
      <c r="E337" s="44"/>
      <c r="F337" s="44"/>
      <c r="G337" s="44"/>
      <c r="H337" s="44"/>
      <c r="I337" s="44"/>
      <c r="J337" s="44"/>
      <c r="K337" s="44">
        <f t="shared" si="5"/>
        <v>1</v>
      </c>
    </row>
    <row r="338" spans="2:12" x14ac:dyDescent="0.2">
      <c r="B338" s="24"/>
      <c r="C338" s="32" t="s">
        <v>438</v>
      </c>
      <c r="D338" s="44">
        <v>1</v>
      </c>
      <c r="E338" s="44"/>
      <c r="F338" s="44"/>
      <c r="G338" s="44"/>
      <c r="H338" s="44"/>
      <c r="I338" s="44"/>
      <c r="J338" s="44"/>
      <c r="K338" s="44">
        <f t="shared" si="5"/>
        <v>1</v>
      </c>
    </row>
    <row r="339" spans="2:12" x14ac:dyDescent="0.2">
      <c r="B339" s="24"/>
      <c r="C339" s="32" t="s">
        <v>456</v>
      </c>
      <c r="D339" s="44">
        <v>1</v>
      </c>
      <c r="E339" s="44"/>
      <c r="F339" s="44"/>
      <c r="G339" s="44"/>
      <c r="H339" s="44"/>
      <c r="I339" s="44"/>
      <c r="J339" s="44"/>
      <c r="K339" s="44">
        <f t="shared" si="5"/>
        <v>1</v>
      </c>
    </row>
    <row r="340" spans="2:12" x14ac:dyDescent="0.2">
      <c r="B340" s="46" t="s">
        <v>6</v>
      </c>
      <c r="C340" s="72"/>
      <c r="D340" s="47"/>
      <c r="E340" s="47"/>
      <c r="F340" s="47"/>
      <c r="G340" s="47"/>
      <c r="H340" s="47"/>
      <c r="I340" s="47"/>
      <c r="J340" s="47"/>
      <c r="K340" s="48">
        <f>SUBTOTAL(109,Tabela467994[Total])</f>
        <v>48</v>
      </c>
    </row>
    <row r="341" spans="2:12" x14ac:dyDescent="0.2">
      <c r="K341" s="28"/>
    </row>
    <row r="342" spans="2:12" x14ac:dyDescent="0.2">
      <c r="B342" s="29" t="s">
        <v>302</v>
      </c>
      <c r="C342" s="150" t="s">
        <v>303</v>
      </c>
      <c r="D342" s="150"/>
      <c r="E342" s="150"/>
      <c r="F342" s="150"/>
      <c r="G342" s="150"/>
      <c r="H342" s="150"/>
      <c r="I342" s="150"/>
      <c r="J342" s="29" t="s">
        <v>243</v>
      </c>
      <c r="K342" s="29" t="s">
        <v>304</v>
      </c>
    </row>
    <row r="343" spans="2:12" x14ac:dyDescent="0.2">
      <c r="B343" s="83" t="str">
        <f>MEDIÇÃO!A114</f>
        <v xml:space="preserve"> 7.27 </v>
      </c>
      <c r="C343" s="152" t="str">
        <f>MEDIÇÃO!D114</f>
        <v>REMOÇÃO DE TOMADA DE LÓGICA</v>
      </c>
      <c r="D343" s="152"/>
      <c r="E343" s="152"/>
      <c r="F343" s="152"/>
      <c r="G343" s="152"/>
      <c r="H343" s="152"/>
      <c r="I343" s="152"/>
      <c r="J343" s="83" t="str">
        <f>MEDIÇÃO!E114</f>
        <v>UN</v>
      </c>
      <c r="K343" s="84">
        <f>TRUNC(Tabela467992[[#Totals],[Total]],2)</f>
        <v>48</v>
      </c>
      <c r="L343" s="59" t="s">
        <v>465</v>
      </c>
    </row>
    <row r="344" spans="2:12" x14ac:dyDescent="0.2">
      <c r="B344" s="23" t="s">
        <v>0</v>
      </c>
      <c r="C344" s="69" t="s">
        <v>305</v>
      </c>
      <c r="D344" s="23" t="s">
        <v>5</v>
      </c>
      <c r="E344" s="23" t="s">
        <v>307</v>
      </c>
      <c r="F344" s="23" t="s">
        <v>308</v>
      </c>
      <c r="G344" s="23" t="s">
        <v>309</v>
      </c>
      <c r="H344" s="23" t="s">
        <v>310</v>
      </c>
      <c r="I344" s="23" t="s">
        <v>311</v>
      </c>
      <c r="J344" s="23" t="s">
        <v>312</v>
      </c>
      <c r="K344" s="23" t="s">
        <v>6</v>
      </c>
    </row>
    <row r="345" spans="2:12" x14ac:dyDescent="0.2">
      <c r="B345" s="24"/>
      <c r="C345" s="32" t="s">
        <v>317</v>
      </c>
      <c r="D345" s="26">
        <f>20+25</f>
        <v>45</v>
      </c>
      <c r="E345" s="26"/>
      <c r="F345" s="26"/>
      <c r="G345" s="26"/>
      <c r="H345" s="26"/>
      <c r="I345" s="26"/>
      <c r="J345" s="26"/>
      <c r="K345" s="26">
        <f>D345</f>
        <v>45</v>
      </c>
    </row>
    <row r="346" spans="2:12" x14ac:dyDescent="0.2">
      <c r="B346" s="24"/>
      <c r="C346" s="32" t="s">
        <v>326</v>
      </c>
      <c r="D346" s="44">
        <v>1</v>
      </c>
      <c r="E346" s="44"/>
      <c r="F346" s="44"/>
      <c r="G346" s="44"/>
      <c r="H346" s="44"/>
      <c r="I346" s="44"/>
      <c r="J346" s="44"/>
      <c r="K346" s="44">
        <f>D346</f>
        <v>1</v>
      </c>
    </row>
    <row r="347" spans="2:12" x14ac:dyDescent="0.2">
      <c r="B347" s="24"/>
      <c r="C347" s="32" t="s">
        <v>438</v>
      </c>
      <c r="D347" s="44">
        <v>1</v>
      </c>
      <c r="E347" s="44"/>
      <c r="F347" s="44"/>
      <c r="G347" s="44"/>
      <c r="H347" s="44"/>
      <c r="I347" s="44"/>
      <c r="J347" s="44"/>
      <c r="K347" s="44">
        <f>D347</f>
        <v>1</v>
      </c>
    </row>
    <row r="348" spans="2:12" x14ac:dyDescent="0.2">
      <c r="B348" s="24"/>
      <c r="C348" s="32" t="s">
        <v>456</v>
      </c>
      <c r="D348" s="44">
        <v>1</v>
      </c>
      <c r="E348" s="44"/>
      <c r="F348" s="44"/>
      <c r="G348" s="44"/>
      <c r="H348" s="44"/>
      <c r="I348" s="44"/>
      <c r="J348" s="44"/>
      <c r="K348" s="44">
        <f>D348</f>
        <v>1</v>
      </c>
    </row>
    <row r="349" spans="2:12" x14ac:dyDescent="0.2">
      <c r="B349" s="46" t="s">
        <v>6</v>
      </c>
      <c r="C349" s="72"/>
      <c r="D349" s="47"/>
      <c r="E349" s="47"/>
      <c r="F349" s="47"/>
      <c r="G349" s="47"/>
      <c r="H349" s="47"/>
      <c r="I349" s="47"/>
      <c r="J349" s="47"/>
      <c r="K349" s="48">
        <f>SUBTOTAL(109,Tabela467992[Total])</f>
        <v>48</v>
      </c>
    </row>
    <row r="350" spans="2:12" x14ac:dyDescent="0.2">
      <c r="K350" s="28"/>
    </row>
    <row r="351" spans="2:12" x14ac:dyDescent="0.2">
      <c r="B351" s="29" t="s">
        <v>302</v>
      </c>
      <c r="C351" s="150" t="s">
        <v>303</v>
      </c>
      <c r="D351" s="150"/>
      <c r="E351" s="150"/>
      <c r="F351" s="150"/>
      <c r="G351" s="150"/>
      <c r="H351" s="150"/>
      <c r="I351" s="150"/>
      <c r="J351" s="29" t="s">
        <v>243</v>
      </c>
      <c r="K351" s="29" t="s">
        <v>304</v>
      </c>
    </row>
    <row r="352" spans="2:12" x14ac:dyDescent="0.2">
      <c r="B352" s="83" t="str">
        <f>MEDIÇÃO!A115</f>
        <v xml:space="preserve"> 7.28 </v>
      </c>
      <c r="C352" s="152" t="str">
        <f>MEDIÇÃO!D115</f>
        <v>REINSTALAÇÃO DE TOMADA DE LÓGICA COM APROVEITAMENTO DE MATERIAL</v>
      </c>
      <c r="D352" s="152"/>
      <c r="E352" s="152"/>
      <c r="F352" s="152"/>
      <c r="G352" s="152"/>
      <c r="H352" s="152"/>
      <c r="I352" s="152"/>
      <c r="J352" s="95" t="e">
        <f>MEDIÇÃO!#REF!</f>
        <v>#REF!</v>
      </c>
      <c r="K352" s="84">
        <f>TRUNC(Tabela467995[[#Totals],[Total]],2)</f>
        <v>9</v>
      </c>
      <c r="L352" s="59" t="s">
        <v>465</v>
      </c>
    </row>
    <row r="353" spans="2:12" x14ac:dyDescent="0.2">
      <c r="B353" s="23" t="s">
        <v>0</v>
      </c>
      <c r="C353" s="69" t="s">
        <v>305</v>
      </c>
      <c r="D353" s="23" t="s">
        <v>5</v>
      </c>
      <c r="E353" s="23" t="s">
        <v>307</v>
      </c>
      <c r="F353" s="23" t="s">
        <v>308</v>
      </c>
      <c r="G353" s="23" t="s">
        <v>309</v>
      </c>
      <c r="H353" s="23" t="s">
        <v>310</v>
      </c>
      <c r="I353" s="23" t="s">
        <v>311</v>
      </c>
      <c r="J353" s="23" t="s">
        <v>312</v>
      </c>
      <c r="K353" s="23" t="s">
        <v>6</v>
      </c>
    </row>
    <row r="354" spans="2:12" x14ac:dyDescent="0.2">
      <c r="B354" s="24"/>
      <c r="C354" s="32" t="s">
        <v>540</v>
      </c>
      <c r="D354" s="26">
        <v>9</v>
      </c>
      <c r="E354" s="26"/>
      <c r="F354" s="26"/>
      <c r="G354" s="26"/>
      <c r="H354" s="26"/>
      <c r="I354" s="26"/>
      <c r="J354" s="26"/>
      <c r="K354" s="26">
        <f>D354</f>
        <v>9</v>
      </c>
    </row>
    <row r="355" spans="2:12" x14ac:dyDescent="0.2">
      <c r="B355" s="27" t="s">
        <v>6</v>
      </c>
      <c r="K355" s="28">
        <f>SUBTOTAL(109,Tabela467995[Total])</f>
        <v>9</v>
      </c>
    </row>
    <row r="356" spans="2:12" x14ac:dyDescent="0.2">
      <c r="K356" s="28"/>
    </row>
    <row r="357" spans="2:12" x14ac:dyDescent="0.2">
      <c r="B357" s="29" t="s">
        <v>302</v>
      </c>
      <c r="C357" s="150" t="s">
        <v>303</v>
      </c>
      <c r="D357" s="150"/>
      <c r="E357" s="150"/>
      <c r="F357" s="150"/>
      <c r="G357" s="150"/>
      <c r="H357" s="150"/>
      <c r="I357" s="150"/>
      <c r="J357" s="29" t="s">
        <v>243</v>
      </c>
      <c r="K357" s="29" t="s">
        <v>304</v>
      </c>
    </row>
    <row r="358" spans="2:12" x14ac:dyDescent="0.2">
      <c r="B358" s="85" t="str">
        <f>MEDIÇÃO!A117</f>
        <v xml:space="preserve"> 7.30</v>
      </c>
      <c r="C358" s="151" t="str">
        <f>MEDIÇÃO!D117</f>
        <v>RASGO EM CONTRAPISO PARA RAMAIS/ DISTRIBUIÇÃO COM DIÂMETROS MENORES OU IGUAIS A 40 MM. AF_05/2015</v>
      </c>
      <c r="D358" s="151"/>
      <c r="E358" s="151"/>
      <c r="F358" s="151"/>
      <c r="G358" s="151"/>
      <c r="H358" s="151"/>
      <c r="I358" s="151"/>
      <c r="J358" s="85" t="str">
        <f>MEDIÇÃO!E117</f>
        <v>M</v>
      </c>
      <c r="K358" s="86">
        <f>TRUNC(Tabela467970[[#Totals],[Total]],2)</f>
        <v>12</v>
      </c>
      <c r="L358" s="59" t="s">
        <v>465</v>
      </c>
    </row>
    <row r="359" spans="2:12" x14ac:dyDescent="0.2">
      <c r="B359" s="23" t="s">
        <v>0</v>
      </c>
      <c r="C359" s="69" t="s">
        <v>305</v>
      </c>
      <c r="D359" s="23" t="s">
        <v>318</v>
      </c>
      <c r="E359" s="23" t="s">
        <v>307</v>
      </c>
      <c r="F359" s="23" t="s">
        <v>308</v>
      </c>
      <c r="G359" s="23" t="s">
        <v>309</v>
      </c>
      <c r="H359" s="23" t="s">
        <v>310</v>
      </c>
      <c r="I359" s="23" t="s">
        <v>311</v>
      </c>
      <c r="J359" s="23" t="s">
        <v>312</v>
      </c>
      <c r="K359" s="23" t="s">
        <v>6</v>
      </c>
    </row>
    <row r="360" spans="2:12" ht="24" x14ac:dyDescent="0.2">
      <c r="B360" s="24"/>
      <c r="C360" s="32" t="s">
        <v>425</v>
      </c>
      <c r="D360" s="26">
        <v>6</v>
      </c>
      <c r="E360" s="26"/>
      <c r="F360" s="26"/>
      <c r="G360" s="26"/>
      <c r="H360" s="26"/>
      <c r="I360" s="26"/>
      <c r="J360" s="26"/>
      <c r="K360" s="26">
        <f>D360</f>
        <v>6</v>
      </c>
    </row>
    <row r="361" spans="2:12" ht="24" x14ac:dyDescent="0.2">
      <c r="B361" s="24"/>
      <c r="C361" s="32" t="s">
        <v>426</v>
      </c>
      <c r="D361" s="44">
        <v>6</v>
      </c>
      <c r="E361" s="44"/>
      <c r="F361" s="44"/>
      <c r="G361" s="44"/>
      <c r="H361" s="44"/>
      <c r="I361" s="44"/>
      <c r="J361" s="44"/>
      <c r="K361" s="44">
        <f>D361</f>
        <v>6</v>
      </c>
    </row>
    <row r="362" spans="2:12" x14ac:dyDescent="0.2">
      <c r="B362" s="46" t="s">
        <v>6</v>
      </c>
      <c r="C362" s="72"/>
      <c r="D362" s="47"/>
      <c r="E362" s="47"/>
      <c r="F362" s="47"/>
      <c r="G362" s="47"/>
      <c r="H362" s="47"/>
      <c r="I362" s="47"/>
      <c r="J362" s="47"/>
      <c r="K362" s="48">
        <f>SUBTOTAL(109,Tabela467970[Total])</f>
        <v>12</v>
      </c>
    </row>
    <row r="363" spans="2:12" x14ac:dyDescent="0.2">
      <c r="K363" s="28"/>
    </row>
    <row r="364" spans="2:12" x14ac:dyDescent="0.2">
      <c r="B364" s="29" t="s">
        <v>302</v>
      </c>
      <c r="C364" s="150" t="s">
        <v>303</v>
      </c>
      <c r="D364" s="150"/>
      <c r="E364" s="150"/>
      <c r="F364" s="150"/>
      <c r="G364" s="150"/>
      <c r="H364" s="150"/>
      <c r="I364" s="150"/>
      <c r="J364" s="29" t="s">
        <v>243</v>
      </c>
      <c r="K364" s="29" t="s">
        <v>304</v>
      </c>
    </row>
    <row r="365" spans="2:12" x14ac:dyDescent="0.2">
      <c r="B365" s="85" t="str">
        <f>MEDIÇÃO!A118</f>
        <v xml:space="preserve"> 7.31</v>
      </c>
      <c r="C365" s="151" t="str">
        <f>MEDIÇÃO!D118</f>
        <v>CHUMBAMENTO LINEAR EM CONTRAPISO PARA RAMAIS/DISTRIBUIÇÃO COM DIÂMETROS MENORES OU IGUAIS A 40 MM. AF_05/2015</v>
      </c>
      <c r="D365" s="151"/>
      <c r="E365" s="151"/>
      <c r="F365" s="151"/>
      <c r="G365" s="151"/>
      <c r="H365" s="151"/>
      <c r="I365" s="151"/>
      <c r="J365" s="85" t="str">
        <f>MEDIÇÃO!E118</f>
        <v>M</v>
      </c>
      <c r="K365" s="86">
        <f>TRUNC(Tabela467977[[#Totals],[Total]],2)</f>
        <v>12</v>
      </c>
      <c r="L365" s="59" t="s">
        <v>465</v>
      </c>
    </row>
    <row r="366" spans="2:12" x14ac:dyDescent="0.2">
      <c r="B366" s="23" t="s">
        <v>0</v>
      </c>
      <c r="C366" s="69" t="s">
        <v>305</v>
      </c>
      <c r="D366" s="23" t="s">
        <v>318</v>
      </c>
      <c r="E366" s="23" t="s">
        <v>307</v>
      </c>
      <c r="F366" s="23" t="s">
        <v>308</v>
      </c>
      <c r="G366" s="23" t="s">
        <v>309</v>
      </c>
      <c r="H366" s="23" t="s">
        <v>310</v>
      </c>
      <c r="I366" s="23" t="s">
        <v>311</v>
      </c>
      <c r="J366" s="23" t="s">
        <v>312</v>
      </c>
      <c r="K366" s="23" t="s">
        <v>6</v>
      </c>
    </row>
    <row r="367" spans="2:12" ht="24" x14ac:dyDescent="0.2">
      <c r="B367" s="24"/>
      <c r="C367" s="32" t="s">
        <v>425</v>
      </c>
      <c r="D367" s="26">
        <v>6</v>
      </c>
      <c r="E367" s="26"/>
      <c r="F367" s="26"/>
      <c r="G367" s="26"/>
      <c r="H367" s="26"/>
      <c r="I367" s="26"/>
      <c r="J367" s="26"/>
      <c r="K367" s="26">
        <f>D367</f>
        <v>6</v>
      </c>
    </row>
    <row r="368" spans="2:12" ht="24" x14ac:dyDescent="0.2">
      <c r="B368" s="24"/>
      <c r="C368" s="32" t="s">
        <v>426</v>
      </c>
      <c r="D368" s="44">
        <v>6</v>
      </c>
      <c r="E368" s="44"/>
      <c r="F368" s="44"/>
      <c r="G368" s="44"/>
      <c r="H368" s="44"/>
      <c r="I368" s="44"/>
      <c r="J368" s="44"/>
      <c r="K368" s="44">
        <f>D368</f>
        <v>6</v>
      </c>
    </row>
    <row r="369" spans="2:12" x14ac:dyDescent="0.2">
      <c r="B369" s="46" t="s">
        <v>6</v>
      </c>
      <c r="C369" s="72"/>
      <c r="D369" s="47"/>
      <c r="E369" s="47"/>
      <c r="F369" s="47"/>
      <c r="G369" s="47"/>
      <c r="H369" s="47"/>
      <c r="I369" s="47"/>
      <c r="J369" s="47"/>
      <c r="K369" s="48">
        <f>SUBTOTAL(109,Tabela467977[Total])</f>
        <v>12</v>
      </c>
    </row>
    <row r="370" spans="2:12" x14ac:dyDescent="0.2">
      <c r="K370" s="28"/>
    </row>
    <row r="371" spans="2:12" x14ac:dyDescent="0.2">
      <c r="B371" s="29" t="s">
        <v>302</v>
      </c>
      <c r="C371" s="150" t="s">
        <v>303</v>
      </c>
      <c r="D371" s="150"/>
      <c r="E371" s="150"/>
      <c r="F371" s="150"/>
      <c r="G371" s="150"/>
      <c r="H371" s="150"/>
      <c r="I371" s="150"/>
      <c r="J371" s="29" t="s">
        <v>243</v>
      </c>
      <c r="K371" s="29" t="s">
        <v>304</v>
      </c>
    </row>
    <row r="372" spans="2:12" x14ac:dyDescent="0.2">
      <c r="B372" s="85" t="str">
        <f>MEDIÇÃO!A119</f>
        <v xml:space="preserve"> 7.32</v>
      </c>
      <c r="C372" s="151" t="str">
        <f>MEDIÇÃO!D119</f>
        <v>TOMADA DUPLA DE EMBUTIR NO PISO, 2P+T 20A, INCLUINDO SUPORTE , PLACA E CAIXA 4X4 - FORNECIMENTO E INSTALAÇÃO</v>
      </c>
      <c r="D372" s="151"/>
      <c r="E372" s="151"/>
      <c r="F372" s="151"/>
      <c r="G372" s="151"/>
      <c r="H372" s="151"/>
      <c r="I372" s="151"/>
      <c r="J372" s="85" t="str">
        <f>MEDIÇÃO!E119</f>
        <v>UND</v>
      </c>
      <c r="K372" s="86">
        <f>TRUNC(Tabela467982[[#Totals],[Total]],2)</f>
        <v>3</v>
      </c>
      <c r="L372" s="59" t="s">
        <v>465</v>
      </c>
    </row>
    <row r="373" spans="2:12" x14ac:dyDescent="0.2">
      <c r="B373" s="23" t="s">
        <v>0</v>
      </c>
      <c r="C373" s="69" t="s">
        <v>305</v>
      </c>
      <c r="D373" s="23" t="s">
        <v>5</v>
      </c>
      <c r="E373" s="23" t="s">
        <v>307</v>
      </c>
      <c r="F373" s="23" t="s">
        <v>308</v>
      </c>
      <c r="G373" s="23" t="s">
        <v>309</v>
      </c>
      <c r="H373" s="23" t="s">
        <v>310</v>
      </c>
      <c r="I373" s="23" t="s">
        <v>311</v>
      </c>
      <c r="J373" s="23" t="s">
        <v>312</v>
      </c>
      <c r="K373" s="23" t="s">
        <v>6</v>
      </c>
    </row>
    <row r="374" spans="2:12" x14ac:dyDescent="0.2">
      <c r="B374" s="24"/>
      <c r="C374" s="32" t="s">
        <v>317</v>
      </c>
      <c r="D374" s="26">
        <v>3</v>
      </c>
      <c r="E374" s="26"/>
      <c r="F374" s="26"/>
      <c r="G374" s="26"/>
      <c r="H374" s="26"/>
      <c r="I374" s="26"/>
      <c r="J374" s="26"/>
      <c r="K374" s="26">
        <f>D374</f>
        <v>3</v>
      </c>
    </row>
    <row r="375" spans="2:12" x14ac:dyDescent="0.2">
      <c r="B375" s="27" t="s">
        <v>6</v>
      </c>
      <c r="K375" s="28">
        <f>SUBTOTAL(109,Tabela467982[Total])</f>
        <v>3</v>
      </c>
    </row>
    <row r="376" spans="2:12" x14ac:dyDescent="0.2">
      <c r="K376" s="28"/>
    </row>
    <row r="377" spans="2:12" x14ac:dyDescent="0.2">
      <c r="B377" s="29" t="s">
        <v>302</v>
      </c>
      <c r="C377" s="150" t="s">
        <v>303</v>
      </c>
      <c r="D377" s="150"/>
      <c r="E377" s="150"/>
      <c r="F377" s="150"/>
      <c r="G377" s="150"/>
      <c r="H377" s="150"/>
      <c r="I377" s="150"/>
      <c r="J377" s="29" t="s">
        <v>243</v>
      </c>
      <c r="K377" s="29" t="s">
        <v>304</v>
      </c>
    </row>
    <row r="378" spans="2:12" x14ac:dyDescent="0.2">
      <c r="B378" s="85" t="str">
        <f>MEDIÇÃO!A120</f>
        <v xml:space="preserve"> 7.33</v>
      </c>
      <c r="C378" s="151" t="str">
        <f>MEDIÇÃO!D120</f>
        <v>LUMINÁRIA PAINEL LED MODULAR DE EMBUTIR, 45W 312x1250, 4000K - FORNECIMENTO E INSTALAÇÃO</v>
      </c>
      <c r="D378" s="151"/>
      <c r="E378" s="151"/>
      <c r="F378" s="151"/>
      <c r="G378" s="151"/>
      <c r="H378" s="151"/>
      <c r="I378" s="151"/>
      <c r="J378" s="85" t="str">
        <f>MEDIÇÃO!E120</f>
        <v>UND</v>
      </c>
      <c r="K378" s="86">
        <f>TRUNC(Tabela467985[[#Totals],[Total]],2)</f>
        <v>9</v>
      </c>
      <c r="L378" s="59" t="s">
        <v>454</v>
      </c>
    </row>
    <row r="379" spans="2:12" x14ac:dyDescent="0.2">
      <c r="B379" s="23" t="s">
        <v>0</v>
      </c>
      <c r="C379" s="69" t="s">
        <v>305</v>
      </c>
      <c r="D379" s="23" t="s">
        <v>5</v>
      </c>
      <c r="E379" s="23" t="s">
        <v>307</v>
      </c>
      <c r="F379" s="23" t="s">
        <v>308</v>
      </c>
      <c r="G379" s="23" t="s">
        <v>309</v>
      </c>
      <c r="H379" s="23" t="s">
        <v>310</v>
      </c>
      <c r="I379" s="23" t="s">
        <v>311</v>
      </c>
      <c r="J379" s="23" t="s">
        <v>312</v>
      </c>
      <c r="K379" s="23" t="s">
        <v>6</v>
      </c>
    </row>
    <row r="380" spans="2:12" x14ac:dyDescent="0.2">
      <c r="B380" s="24"/>
      <c r="C380" s="32" t="s">
        <v>317</v>
      </c>
      <c r="D380" s="26">
        <v>6</v>
      </c>
      <c r="E380" s="26"/>
      <c r="F380" s="26"/>
      <c r="G380" s="26"/>
      <c r="H380" s="26"/>
      <c r="I380" s="26"/>
      <c r="J380" s="26"/>
      <c r="K380" s="26">
        <f>D380</f>
        <v>6</v>
      </c>
    </row>
    <row r="381" spans="2:12" x14ac:dyDescent="0.2">
      <c r="B381" s="24"/>
      <c r="C381" s="32" t="s">
        <v>374</v>
      </c>
      <c r="D381" s="26">
        <v>2</v>
      </c>
      <c r="E381" s="26"/>
      <c r="F381" s="26"/>
      <c r="G381" s="26"/>
      <c r="H381" s="26"/>
      <c r="I381" s="26"/>
      <c r="J381" s="26"/>
      <c r="K381" s="26">
        <f>D381</f>
        <v>2</v>
      </c>
    </row>
    <row r="382" spans="2:12" x14ac:dyDescent="0.2">
      <c r="B382" s="24"/>
      <c r="C382" s="32" t="s">
        <v>375</v>
      </c>
      <c r="D382" s="26">
        <v>1</v>
      </c>
      <c r="E382" s="26"/>
      <c r="F382" s="26"/>
      <c r="G382" s="26"/>
      <c r="H382" s="26"/>
      <c r="I382" s="26"/>
      <c r="J382" s="26"/>
      <c r="K382" s="26">
        <f>D382</f>
        <v>1</v>
      </c>
    </row>
    <row r="383" spans="2:12" x14ac:dyDescent="0.2">
      <c r="B383" s="27" t="s">
        <v>6</v>
      </c>
      <c r="K383" s="28">
        <f>SUBTOTAL(109,Tabela467985[Total])</f>
        <v>9</v>
      </c>
    </row>
    <row r="384" spans="2:12" x14ac:dyDescent="0.2">
      <c r="K384" s="28"/>
    </row>
    <row r="385" spans="2:12" x14ac:dyDescent="0.2">
      <c r="B385" s="29" t="s">
        <v>302</v>
      </c>
      <c r="C385" s="150" t="s">
        <v>303</v>
      </c>
      <c r="D385" s="150"/>
      <c r="E385" s="150"/>
      <c r="F385" s="150"/>
      <c r="G385" s="150"/>
      <c r="H385" s="150"/>
      <c r="I385" s="150"/>
      <c r="J385" s="29" t="s">
        <v>243</v>
      </c>
      <c r="K385" s="29" t="s">
        <v>304</v>
      </c>
    </row>
    <row r="386" spans="2:12" x14ac:dyDescent="0.2">
      <c r="B386" s="85" t="str">
        <f>MEDIÇÃO!A121</f>
        <v xml:space="preserve"> 7.34</v>
      </c>
      <c r="C386" s="151" t="str">
        <f>MEDIÇÃO!D121</f>
        <v>TRILHO ILUMINADO COM 3 PONTOS DIRECIONÁVEIS LED 4000K NEUTRO</v>
      </c>
      <c r="D386" s="151"/>
      <c r="E386" s="151"/>
      <c r="F386" s="151"/>
      <c r="G386" s="151"/>
      <c r="H386" s="151"/>
      <c r="I386" s="151"/>
      <c r="J386" s="85" t="str">
        <f>MEDIÇÃO!E121</f>
        <v>UND</v>
      </c>
      <c r="K386" s="86">
        <f>TRUNC(Tabela467986[[#Totals],[Total]],2)</f>
        <v>1</v>
      </c>
      <c r="L386" s="59" t="s">
        <v>454</v>
      </c>
    </row>
    <row r="387" spans="2:12" x14ac:dyDescent="0.2">
      <c r="B387" s="23" t="s">
        <v>0</v>
      </c>
      <c r="C387" s="69" t="s">
        <v>305</v>
      </c>
      <c r="D387" s="23" t="s">
        <v>5</v>
      </c>
      <c r="E387" s="23" t="s">
        <v>307</v>
      </c>
      <c r="F387" s="23" t="s">
        <v>308</v>
      </c>
      <c r="G387" s="23" t="s">
        <v>309</v>
      </c>
      <c r="H387" s="23" t="s">
        <v>310</v>
      </c>
      <c r="I387" s="23" t="s">
        <v>311</v>
      </c>
      <c r="J387" s="23" t="s">
        <v>312</v>
      </c>
      <c r="K387" s="23" t="s">
        <v>6</v>
      </c>
    </row>
    <row r="388" spans="2:12" x14ac:dyDescent="0.2">
      <c r="B388" s="24"/>
      <c r="C388" s="32" t="s">
        <v>326</v>
      </c>
      <c r="D388" s="26">
        <v>1</v>
      </c>
      <c r="E388" s="26"/>
      <c r="F388" s="26"/>
      <c r="G388" s="26"/>
      <c r="H388" s="26"/>
      <c r="I388" s="26"/>
      <c r="J388" s="26"/>
      <c r="K388" s="26">
        <f>D388</f>
        <v>1</v>
      </c>
    </row>
    <row r="389" spans="2:12" x14ac:dyDescent="0.2">
      <c r="B389" s="27" t="s">
        <v>6</v>
      </c>
      <c r="K389" s="28">
        <f>SUBTOTAL(109,Tabela467986[Total])</f>
        <v>1</v>
      </c>
    </row>
    <row r="390" spans="2:12" x14ac:dyDescent="0.2">
      <c r="K390" s="28"/>
    </row>
    <row r="391" spans="2:12" x14ac:dyDescent="0.2">
      <c r="B391" s="29" t="s">
        <v>302</v>
      </c>
      <c r="C391" s="150" t="s">
        <v>303</v>
      </c>
      <c r="D391" s="150"/>
      <c r="E391" s="150"/>
      <c r="F391" s="150"/>
      <c r="G391" s="150"/>
      <c r="H391" s="150"/>
      <c r="I391" s="150"/>
      <c r="J391" s="29" t="s">
        <v>243</v>
      </c>
      <c r="K391" s="29" t="s">
        <v>304</v>
      </c>
    </row>
    <row r="392" spans="2:12" x14ac:dyDescent="0.2">
      <c r="B392" s="85" t="str">
        <f>MEDIÇÃO!A122</f>
        <v xml:space="preserve"> 7.35</v>
      </c>
      <c r="C392" s="151" t="str">
        <f>MEDIÇÃO!D122</f>
        <v>LUMINÁRIA DUPLA  2XPAR 20 LED DE EMBUTIR, 5.5W, 4000K BIVOLT - BRANCO NEUTRO - FORNECIMENTO E INSTALAÇÃO</v>
      </c>
      <c r="D392" s="151"/>
      <c r="E392" s="151"/>
      <c r="F392" s="151"/>
      <c r="G392" s="151"/>
      <c r="H392" s="151"/>
      <c r="I392" s="151"/>
      <c r="J392" s="85" t="str">
        <f>MEDIÇÃO!E122</f>
        <v>UND</v>
      </c>
      <c r="K392" s="86">
        <f>TRUNC(Tabela467987[[#Totals],[Total]],2)</f>
        <v>3</v>
      </c>
      <c r="L392" s="59" t="s">
        <v>454</v>
      </c>
    </row>
    <row r="393" spans="2:12" x14ac:dyDescent="0.2">
      <c r="B393" s="23" t="s">
        <v>0</v>
      </c>
      <c r="C393" s="69" t="s">
        <v>305</v>
      </c>
      <c r="D393" s="23" t="s">
        <v>5</v>
      </c>
      <c r="E393" s="23" t="s">
        <v>307</v>
      </c>
      <c r="F393" s="23" t="s">
        <v>308</v>
      </c>
      <c r="G393" s="23" t="s">
        <v>309</v>
      </c>
      <c r="H393" s="23" t="s">
        <v>310</v>
      </c>
      <c r="I393" s="23" t="s">
        <v>311</v>
      </c>
      <c r="J393" s="23" t="s">
        <v>312</v>
      </c>
      <c r="K393" s="23" t="s">
        <v>6</v>
      </c>
    </row>
    <row r="394" spans="2:12" x14ac:dyDescent="0.2">
      <c r="B394" s="24"/>
      <c r="C394" s="32" t="s">
        <v>326</v>
      </c>
      <c r="D394" s="26">
        <v>3</v>
      </c>
      <c r="E394" s="26"/>
      <c r="F394" s="26"/>
      <c r="G394" s="26"/>
      <c r="H394" s="26"/>
      <c r="I394" s="26"/>
      <c r="J394" s="26"/>
      <c r="K394" s="26">
        <f>D394</f>
        <v>3</v>
      </c>
    </row>
    <row r="395" spans="2:12" x14ac:dyDescent="0.2">
      <c r="B395" s="27" t="s">
        <v>6</v>
      </c>
      <c r="K395" s="28">
        <f>SUBTOTAL(109,Tabela467987[Total])</f>
        <v>3</v>
      </c>
    </row>
    <row r="396" spans="2:12" x14ac:dyDescent="0.2">
      <c r="K396" s="28"/>
    </row>
    <row r="397" spans="2:12" x14ac:dyDescent="0.2">
      <c r="B397" s="29" t="s">
        <v>302</v>
      </c>
      <c r="C397" s="150" t="s">
        <v>303</v>
      </c>
      <c r="D397" s="150"/>
      <c r="E397" s="150"/>
      <c r="F397" s="150"/>
      <c r="G397" s="150"/>
      <c r="H397" s="150"/>
      <c r="I397" s="150"/>
      <c r="J397" s="29" t="s">
        <v>243</v>
      </c>
      <c r="K397" s="29" t="s">
        <v>304</v>
      </c>
    </row>
    <row r="398" spans="2:12" x14ac:dyDescent="0.2">
      <c r="B398" s="85" t="str">
        <f>MEDIÇÃO!A123</f>
        <v xml:space="preserve"> 7.36</v>
      </c>
      <c r="C398" s="151" t="str">
        <f>MEDIÇÃO!D123</f>
        <v>PERFIL LED DE EMBUTIR, LUZ NATURAL - COR NEUTRO, 8W - 5M</v>
      </c>
      <c r="D398" s="151"/>
      <c r="E398" s="151"/>
      <c r="F398" s="151"/>
      <c r="G398" s="151"/>
      <c r="H398" s="151"/>
      <c r="I398" s="151"/>
      <c r="J398" s="85" t="str">
        <f>MEDIÇÃO!E123</f>
        <v>UND</v>
      </c>
      <c r="K398" s="86">
        <f>TRUNC(Tabela467988[[#Totals],[Total]],2)</f>
        <v>1</v>
      </c>
      <c r="L398" s="59" t="s">
        <v>454</v>
      </c>
    </row>
    <row r="399" spans="2:12" x14ac:dyDescent="0.2">
      <c r="B399" s="23" t="s">
        <v>0</v>
      </c>
      <c r="C399" s="69" t="s">
        <v>305</v>
      </c>
      <c r="D399" s="23" t="s">
        <v>5</v>
      </c>
      <c r="E399" s="23" t="s">
        <v>307</v>
      </c>
      <c r="F399" s="23" t="s">
        <v>308</v>
      </c>
      <c r="G399" s="23" t="s">
        <v>309</v>
      </c>
      <c r="H399" s="23" t="s">
        <v>310</v>
      </c>
      <c r="I399" s="23" t="s">
        <v>311</v>
      </c>
      <c r="J399" s="23" t="s">
        <v>312</v>
      </c>
      <c r="K399" s="23" t="s">
        <v>6</v>
      </c>
    </row>
    <row r="400" spans="2:12" x14ac:dyDescent="0.2">
      <c r="B400" s="24"/>
      <c r="C400" s="32" t="s">
        <v>326</v>
      </c>
      <c r="D400" s="26">
        <v>1</v>
      </c>
      <c r="E400" s="26"/>
      <c r="F400" s="26"/>
      <c r="G400" s="26"/>
      <c r="H400" s="26"/>
      <c r="I400" s="26"/>
      <c r="J400" s="26"/>
      <c r="K400" s="26">
        <f>D400</f>
        <v>1</v>
      </c>
    </row>
    <row r="401" spans="1:12" x14ac:dyDescent="0.2">
      <c r="B401" s="27" t="s">
        <v>6</v>
      </c>
      <c r="K401" s="28">
        <f>SUBTOTAL(109,Tabela467988[Total])</f>
        <v>1</v>
      </c>
    </row>
    <row r="402" spans="1:12" x14ac:dyDescent="0.2">
      <c r="K402" s="28"/>
    </row>
    <row r="403" spans="1:12" x14ac:dyDescent="0.2">
      <c r="B403" s="29" t="s">
        <v>302</v>
      </c>
      <c r="C403" s="150" t="s">
        <v>303</v>
      </c>
      <c r="D403" s="150"/>
      <c r="E403" s="150"/>
      <c r="F403" s="150"/>
      <c r="G403" s="150"/>
      <c r="H403" s="150"/>
      <c r="I403" s="150"/>
      <c r="J403" s="29" t="s">
        <v>243</v>
      </c>
      <c r="K403" s="29" t="s">
        <v>304</v>
      </c>
    </row>
    <row r="404" spans="1:12" x14ac:dyDescent="0.2">
      <c r="B404" s="85" t="str">
        <f>MEDIÇÃO!A126</f>
        <v xml:space="preserve"> 7.39</v>
      </c>
      <c r="C404" s="151" t="str">
        <f>MEDIÇÃO!D126</f>
        <v>LUMINÁRIA TIPO SPOT DE EMBUTIR NA COR BRANCA PAR 20 - LAMP 5,5W - 4000K</v>
      </c>
      <c r="D404" s="151"/>
      <c r="E404" s="151"/>
      <c r="F404" s="151"/>
      <c r="G404" s="151"/>
      <c r="H404" s="151"/>
      <c r="I404" s="151"/>
      <c r="J404" s="85" t="str">
        <f>MEDIÇÃO!E126</f>
        <v>UND</v>
      </c>
      <c r="K404" s="86">
        <f>TRUNC(Tabela46798856[[#Totals],[Total]],2)</f>
        <v>3</v>
      </c>
      <c r="L404" s="59" t="s">
        <v>454</v>
      </c>
    </row>
    <row r="405" spans="1:12" x14ac:dyDescent="0.2">
      <c r="B405" s="23" t="s">
        <v>0</v>
      </c>
      <c r="C405" s="69" t="s">
        <v>305</v>
      </c>
      <c r="D405" s="23" t="s">
        <v>5</v>
      </c>
      <c r="E405" s="23" t="s">
        <v>307</v>
      </c>
      <c r="F405" s="23" t="s">
        <v>308</v>
      </c>
      <c r="G405" s="23" t="s">
        <v>309</v>
      </c>
      <c r="H405" s="23" t="s">
        <v>310</v>
      </c>
      <c r="I405" s="23" t="s">
        <v>311</v>
      </c>
      <c r="J405" s="23" t="s">
        <v>312</v>
      </c>
      <c r="K405" s="23" t="s">
        <v>6</v>
      </c>
    </row>
    <row r="406" spans="1:12" x14ac:dyDescent="0.2">
      <c r="B406" s="24"/>
      <c r="C406" s="32" t="s">
        <v>326</v>
      </c>
      <c r="D406" s="26">
        <v>3</v>
      </c>
      <c r="E406" s="26"/>
      <c r="F406" s="26"/>
      <c r="G406" s="26"/>
      <c r="H406" s="26"/>
      <c r="I406" s="26"/>
      <c r="J406" s="26"/>
      <c r="K406" s="26">
        <f>D406</f>
        <v>3</v>
      </c>
    </row>
    <row r="407" spans="1:12" x14ac:dyDescent="0.2">
      <c r="B407" s="27" t="s">
        <v>6</v>
      </c>
      <c r="K407" s="28">
        <f>SUBTOTAL(109,Tabela46798856[Total])</f>
        <v>3</v>
      </c>
    </row>
    <row r="408" spans="1:12" x14ac:dyDescent="0.2">
      <c r="K408" s="28"/>
    </row>
    <row r="409" spans="1:12" x14ac:dyDescent="0.2">
      <c r="B409" s="20"/>
      <c r="K409" s="28"/>
    </row>
    <row r="410" spans="1:12" ht="15" x14ac:dyDescent="0.25">
      <c r="A410" s="82"/>
      <c r="B410" s="77" t="str">
        <f>MEDIÇÃO!A131</f>
        <v xml:space="preserve"> 8 </v>
      </c>
      <c r="C410" s="78" t="str">
        <f>MEDIÇÃO!D131</f>
        <v>PINTURAS E TRATAMENTOS</v>
      </c>
      <c r="D410" s="79"/>
      <c r="E410" s="79"/>
      <c r="F410" s="79"/>
      <c r="G410" s="79"/>
      <c r="H410" s="79"/>
      <c r="I410" s="79"/>
      <c r="J410" s="79"/>
      <c r="K410" s="80"/>
      <c r="L410" s="81"/>
    </row>
    <row r="411" spans="1:12" x14ac:dyDescent="0.2">
      <c r="K411" s="28"/>
    </row>
    <row r="412" spans="1:12" x14ac:dyDescent="0.2">
      <c r="B412" s="29" t="s">
        <v>302</v>
      </c>
      <c r="C412" s="150" t="s">
        <v>303</v>
      </c>
      <c r="D412" s="150"/>
      <c r="E412" s="150"/>
      <c r="F412" s="150"/>
      <c r="G412" s="150"/>
      <c r="H412" s="150"/>
      <c r="I412" s="150"/>
      <c r="J412" s="29" t="s">
        <v>243</v>
      </c>
      <c r="K412" s="29" t="s">
        <v>304</v>
      </c>
    </row>
    <row r="413" spans="1:12" x14ac:dyDescent="0.2">
      <c r="B413" s="83" t="str">
        <f>MEDIÇÃO!A133</f>
        <v xml:space="preserve"> 8.2 </v>
      </c>
      <c r="C413" s="152" t="str">
        <f>MEDIÇÃO!D133</f>
        <v>APLICAÇÃO MANUAL DE PINTURA COM TINTA LÁTEX ACRÍLICA EM TETO, DUAS DEMÃOS. AF 06/2014</v>
      </c>
      <c r="D413" s="152"/>
      <c r="E413" s="152"/>
      <c r="F413" s="152"/>
      <c r="G413" s="152"/>
      <c r="H413" s="152"/>
      <c r="I413" s="152"/>
      <c r="J413" s="83" t="str">
        <f>MEDIÇÃO!E133</f>
        <v>m²</v>
      </c>
      <c r="K413" s="84">
        <f>TRUNC(Tabela467947[[#Totals],[Total]],2)</f>
        <v>111.89</v>
      </c>
      <c r="L413" s="59" t="s">
        <v>465</v>
      </c>
    </row>
    <row r="414" spans="1:12" x14ac:dyDescent="0.2">
      <c r="B414" s="23" t="s">
        <v>0</v>
      </c>
      <c r="C414" s="69" t="s">
        <v>305</v>
      </c>
      <c r="D414" s="23" t="s">
        <v>323</v>
      </c>
      <c r="E414" s="23" t="s">
        <v>318</v>
      </c>
      <c r="F414" s="23" t="s">
        <v>308</v>
      </c>
      <c r="G414" s="23" t="s">
        <v>309</v>
      </c>
      <c r="H414" s="23" t="s">
        <v>310</v>
      </c>
      <c r="I414" s="23" t="s">
        <v>311</v>
      </c>
      <c r="J414" s="23" t="s">
        <v>312</v>
      </c>
      <c r="K414" s="23" t="s">
        <v>6</v>
      </c>
    </row>
    <row r="415" spans="1:12" x14ac:dyDescent="0.2">
      <c r="B415" s="24"/>
      <c r="C415" s="32" t="s">
        <v>388</v>
      </c>
      <c r="D415" s="26">
        <v>8.25</v>
      </c>
      <c r="E415" s="26">
        <v>6.33</v>
      </c>
      <c r="F415" s="26"/>
      <c r="G415" s="26"/>
      <c r="H415" s="26"/>
      <c r="I415" s="26"/>
      <c r="J415" s="26"/>
      <c r="K415" s="26">
        <f>Tabela467947[[#This Row],[Larg. (m)]]*Tabela467947[[#This Row],[Comp. (m)]]</f>
        <v>52.222500000000004</v>
      </c>
    </row>
    <row r="416" spans="1:12" x14ac:dyDescent="0.2">
      <c r="B416" s="24"/>
      <c r="C416" s="32" t="s">
        <v>326</v>
      </c>
      <c r="D416" s="26">
        <v>3.5</v>
      </c>
      <c r="E416" s="26">
        <v>3.85</v>
      </c>
      <c r="F416" s="26"/>
      <c r="G416" s="26"/>
      <c r="H416" s="26"/>
      <c r="I416" s="26"/>
      <c r="J416" s="26"/>
      <c r="K416" s="26">
        <f>Tabela467947[[#This Row],[Larg. (m)]]*Tabela467947[[#This Row],[Comp. (m)]]</f>
        <v>13.475</v>
      </c>
    </row>
    <row r="417" spans="2:14" x14ac:dyDescent="0.2">
      <c r="B417" s="24"/>
      <c r="C417" s="32" t="s">
        <v>327</v>
      </c>
      <c r="D417" s="26">
        <v>1.2</v>
      </c>
      <c r="E417" s="26">
        <v>2.52</v>
      </c>
      <c r="F417" s="26"/>
      <c r="G417" s="26"/>
      <c r="H417" s="26"/>
      <c r="I417" s="26"/>
      <c r="J417" s="26"/>
      <c r="K417" s="26">
        <f>Tabela467947[[#This Row],[Larg. (m)]]*Tabela467947[[#This Row],[Comp. (m)]]</f>
        <v>3.024</v>
      </c>
    </row>
    <row r="418" spans="2:14" x14ac:dyDescent="0.2">
      <c r="B418" s="24"/>
      <c r="C418" s="32" t="s">
        <v>456</v>
      </c>
      <c r="D418" s="44">
        <v>3.9</v>
      </c>
      <c r="E418" s="44">
        <v>6.85</v>
      </c>
      <c r="F418" s="44"/>
      <c r="G418" s="44"/>
      <c r="H418" s="44"/>
      <c r="I418" s="44"/>
      <c r="J418" s="44"/>
      <c r="K418" s="44">
        <f>Tabela467947[[#This Row],[Larg. (m)]]*Tabela467947[[#This Row],[Comp. (m)]]</f>
        <v>26.714999999999996</v>
      </c>
    </row>
    <row r="419" spans="2:14" x14ac:dyDescent="0.2">
      <c r="B419" s="24"/>
      <c r="C419" s="32" t="s">
        <v>457</v>
      </c>
      <c r="D419" s="44">
        <v>1.35</v>
      </c>
      <c r="E419" s="44">
        <v>1.3</v>
      </c>
      <c r="F419" s="44"/>
      <c r="G419" s="44"/>
      <c r="H419" s="44"/>
      <c r="I419" s="44"/>
      <c r="J419" s="44"/>
      <c r="K419" s="44">
        <f>Tabela467947[[#This Row],[Larg. (m)]]*Tabela467947[[#This Row],[Comp. (m)]]</f>
        <v>1.7550000000000001</v>
      </c>
    </row>
    <row r="420" spans="2:14" x14ac:dyDescent="0.2">
      <c r="B420" s="24"/>
      <c r="C420" s="32" t="s">
        <v>438</v>
      </c>
      <c r="D420" s="44">
        <v>3.5</v>
      </c>
      <c r="E420" s="44">
        <v>4.2</v>
      </c>
      <c r="F420" s="44"/>
      <c r="G420" s="44"/>
      <c r="H420" s="44"/>
      <c r="I420" s="44"/>
      <c r="J420" s="44"/>
      <c r="K420" s="44">
        <f>Tabela467947[[#This Row],[Larg. (m)]]*Tabela467947[[#This Row],[Comp. (m)]]</f>
        <v>14.700000000000001</v>
      </c>
    </row>
    <row r="421" spans="2:14" x14ac:dyDescent="0.2">
      <c r="B421" s="46" t="s">
        <v>6</v>
      </c>
      <c r="C421" s="72"/>
      <c r="D421" s="47"/>
      <c r="E421" s="47"/>
      <c r="F421" s="47"/>
      <c r="G421" s="47"/>
      <c r="H421" s="47"/>
      <c r="I421" s="47"/>
      <c r="J421" s="47"/>
      <c r="K421" s="48">
        <f>SUBTOTAL(109,Tabela467947[Total])</f>
        <v>111.89149999999999</v>
      </c>
    </row>
    <row r="422" spans="2:14" x14ac:dyDescent="0.2">
      <c r="K422" s="28"/>
    </row>
    <row r="423" spans="2:14" x14ac:dyDescent="0.2">
      <c r="B423" s="29" t="s">
        <v>302</v>
      </c>
      <c r="C423" s="150" t="s">
        <v>303</v>
      </c>
      <c r="D423" s="150"/>
      <c r="E423" s="150"/>
      <c r="F423" s="150"/>
      <c r="G423" s="150"/>
      <c r="H423" s="150"/>
      <c r="I423" s="150"/>
      <c r="J423" s="29" t="s">
        <v>243</v>
      </c>
      <c r="K423" s="29" t="s">
        <v>304</v>
      </c>
    </row>
    <row r="424" spans="2:14" x14ac:dyDescent="0.2">
      <c r="B424" s="83" t="str">
        <f>MEDIÇÃO!A134</f>
        <v xml:space="preserve"> 8.3 </v>
      </c>
      <c r="C424" s="152" t="str">
        <f>MEDIÇÃO!D134</f>
        <v>APLICAÇÃO E LIXAMENTO DE MASSA LÁTEX EM PAREDES, DUAS DEMÃOS. AF 06/2014</v>
      </c>
      <c r="D424" s="152"/>
      <c r="E424" s="152"/>
      <c r="F424" s="152"/>
      <c r="G424" s="152"/>
      <c r="H424" s="152"/>
      <c r="I424" s="152"/>
      <c r="J424" s="83" t="str">
        <f>MEDIÇÃO!E134</f>
        <v>m²</v>
      </c>
      <c r="K424" s="84">
        <f>TRUNC(Tabela46794428[[#Totals],[Total]],2)</f>
        <v>92.68</v>
      </c>
      <c r="L424" s="59" t="s">
        <v>465</v>
      </c>
    </row>
    <row r="425" spans="2:14" x14ac:dyDescent="0.2">
      <c r="B425" s="23" t="s">
        <v>0</v>
      </c>
      <c r="C425" s="69" t="s">
        <v>305</v>
      </c>
      <c r="D425" s="23" t="s">
        <v>323</v>
      </c>
      <c r="E425" s="23" t="s">
        <v>324</v>
      </c>
      <c r="F425" s="23" t="s">
        <v>5</v>
      </c>
      <c r="G425" s="23" t="s">
        <v>549</v>
      </c>
      <c r="H425" s="23" t="s">
        <v>310</v>
      </c>
      <c r="I425" s="23" t="s">
        <v>311</v>
      </c>
      <c r="J425" s="23" t="s">
        <v>312</v>
      </c>
      <c r="K425" s="23" t="s">
        <v>6</v>
      </c>
      <c r="L425" s="141" t="s">
        <v>740</v>
      </c>
    </row>
    <row r="426" spans="2:14" x14ac:dyDescent="0.2">
      <c r="B426" s="24"/>
      <c r="C426" s="32" t="s">
        <v>377</v>
      </c>
      <c r="D426" s="26">
        <v>1</v>
      </c>
      <c r="E426" s="26">
        <v>2.2000000000000002</v>
      </c>
      <c r="F426" s="26">
        <v>2</v>
      </c>
      <c r="G426" s="26">
        <f t="shared" ref="G426:G427" si="6">50+38.28</f>
        <v>88.28</v>
      </c>
      <c r="H426" s="26"/>
      <c r="I426" s="26"/>
      <c r="J426" s="26"/>
      <c r="K426" s="26">
        <f>Tabela46794428[[#This Row],[Larg. (m)]]*Tabela46794428[[#This Row],[Altura (m)]]*Tabela46794428[[#This Row],[Quant.]]</f>
        <v>4.4000000000000004</v>
      </c>
      <c r="L426" s="44"/>
    </row>
    <row r="427" spans="2:14" ht="24" x14ac:dyDescent="0.2">
      <c r="B427" s="24"/>
      <c r="C427" s="32" t="s">
        <v>548</v>
      </c>
      <c r="D427" s="44"/>
      <c r="E427" s="44"/>
      <c r="F427" s="44"/>
      <c r="G427" s="44">
        <f t="shared" si="6"/>
        <v>88.28</v>
      </c>
      <c r="H427" s="44"/>
      <c r="I427" s="44"/>
      <c r="J427" s="44"/>
      <c r="K427" s="44">
        <f>Tabela46794428[[#This Row],[Área(m²)]]</f>
        <v>88.28</v>
      </c>
      <c r="L427" s="140" t="s">
        <v>742</v>
      </c>
      <c r="M427" s="143"/>
      <c r="N427" s="143"/>
    </row>
    <row r="428" spans="2:14" x14ac:dyDescent="0.2">
      <c r="B428" s="46" t="s">
        <v>6</v>
      </c>
      <c r="C428" s="72"/>
      <c r="D428" s="47"/>
      <c r="E428" s="47"/>
      <c r="F428" s="47"/>
      <c r="G428" s="47"/>
      <c r="H428" s="47"/>
      <c r="I428" s="47"/>
      <c r="J428" s="47"/>
      <c r="K428" s="48">
        <f>SUBTOTAL(109,Tabela46794428[Total])</f>
        <v>92.68</v>
      </c>
      <c r="L428" s="47"/>
    </row>
    <row r="429" spans="2:14" x14ac:dyDescent="0.2">
      <c r="K429" s="28"/>
    </row>
    <row r="430" spans="2:14" x14ac:dyDescent="0.2">
      <c r="B430" s="29" t="s">
        <v>302</v>
      </c>
      <c r="C430" s="150" t="s">
        <v>303</v>
      </c>
      <c r="D430" s="150"/>
      <c r="E430" s="150"/>
      <c r="F430" s="150"/>
      <c r="G430" s="150"/>
      <c r="H430" s="150"/>
      <c r="I430" s="150"/>
      <c r="J430" s="29" t="s">
        <v>243</v>
      </c>
      <c r="K430" s="29" t="s">
        <v>304</v>
      </c>
    </row>
    <row r="431" spans="2:14" x14ac:dyDescent="0.2">
      <c r="B431" s="83" t="str">
        <f>MEDIÇÃO!A136</f>
        <v xml:space="preserve"> 8.5 </v>
      </c>
      <c r="C431" s="152" t="str">
        <f>MEDIÇÃO!D136</f>
        <v>Pintura em Tinta Suvinil - tipo Acetinado, cor: papel picado.</v>
      </c>
      <c r="D431" s="152"/>
      <c r="E431" s="152"/>
      <c r="F431" s="152"/>
      <c r="G431" s="152"/>
      <c r="H431" s="152"/>
      <c r="I431" s="152"/>
      <c r="J431" s="83" t="str">
        <f>MEDIÇÃO!E136</f>
        <v>m²</v>
      </c>
      <c r="K431" s="84">
        <f>TRUNC(Tabela467946[[#Totals],[Total]],2)</f>
        <v>388.35</v>
      </c>
      <c r="L431" s="59" t="s">
        <v>465</v>
      </c>
    </row>
    <row r="432" spans="2:14" x14ac:dyDescent="0.2">
      <c r="B432" s="23" t="s">
        <v>0</v>
      </c>
      <c r="C432" s="69" t="s">
        <v>305</v>
      </c>
      <c r="D432" s="23" t="s">
        <v>323</v>
      </c>
      <c r="E432" s="23" t="s">
        <v>324</v>
      </c>
      <c r="F432" s="23" t="s">
        <v>5</v>
      </c>
      <c r="G432" s="23" t="s">
        <v>309</v>
      </c>
      <c r="H432" s="23" t="s">
        <v>310</v>
      </c>
      <c r="I432" s="23" t="s">
        <v>311</v>
      </c>
      <c r="J432" s="23" t="s">
        <v>312</v>
      </c>
      <c r="K432" s="23" t="s">
        <v>6</v>
      </c>
      <c r="L432" s="141" t="s">
        <v>740</v>
      </c>
    </row>
    <row r="433" spans="2:12" x14ac:dyDescent="0.2">
      <c r="B433" s="24">
        <v>1</v>
      </c>
      <c r="C433" s="32" t="s">
        <v>607</v>
      </c>
      <c r="D433" s="26">
        <v>5.05</v>
      </c>
      <c r="E433" s="26">
        <v>3</v>
      </c>
      <c r="F433" s="26">
        <v>1</v>
      </c>
      <c r="G433" s="26"/>
      <c r="H433" s="26"/>
      <c r="I433" s="26"/>
      <c r="J433" s="26"/>
      <c r="K433" s="26">
        <f>Tabela467946[[#This Row],[Larg. (m)]]*Tabela467946[[#This Row],[Altura (m)]]*Tabela467946[[#This Row],[Quant.]]</f>
        <v>15.149999999999999</v>
      </c>
      <c r="L433" s="44"/>
    </row>
    <row r="434" spans="2:12" x14ac:dyDescent="0.2">
      <c r="B434" s="24"/>
      <c r="C434" s="32" t="s">
        <v>608</v>
      </c>
      <c r="D434" s="26">
        <v>6.33</v>
      </c>
      <c r="E434" s="26">
        <v>3</v>
      </c>
      <c r="F434" s="26">
        <v>1</v>
      </c>
      <c r="G434" s="26"/>
      <c r="H434" s="26"/>
      <c r="I434" s="26"/>
      <c r="J434" s="26"/>
      <c r="K434" s="26">
        <f>Tabela467946[[#This Row],[Larg. (m)]]*Tabela467946[[#This Row],[Altura (m)]]*Tabela467946[[#This Row],[Quant.]]</f>
        <v>18.990000000000002</v>
      </c>
      <c r="L434" s="44"/>
    </row>
    <row r="435" spans="2:12" x14ac:dyDescent="0.2">
      <c r="B435" s="24"/>
      <c r="C435" s="32" t="s">
        <v>609</v>
      </c>
      <c r="D435" s="26">
        <v>0.59</v>
      </c>
      <c r="E435" s="26">
        <v>3</v>
      </c>
      <c r="F435" s="26">
        <v>1</v>
      </c>
      <c r="G435" s="26"/>
      <c r="H435" s="26"/>
      <c r="I435" s="26"/>
      <c r="J435" s="26"/>
      <c r="K435" s="26">
        <f>Tabela467946[[#This Row],[Larg. (m)]]*Tabela467946[[#This Row],[Altura (m)]]*Tabela467946[[#This Row],[Quant.]]</f>
        <v>1.77</v>
      </c>
      <c r="L435" s="44"/>
    </row>
    <row r="436" spans="2:12" x14ac:dyDescent="0.2">
      <c r="B436" s="24"/>
      <c r="C436" s="32" t="s">
        <v>610</v>
      </c>
      <c r="D436" s="26">
        <v>0.69</v>
      </c>
      <c r="E436" s="26">
        <v>3</v>
      </c>
      <c r="F436" s="26">
        <v>1</v>
      </c>
      <c r="G436" s="26"/>
      <c r="H436" s="26"/>
      <c r="I436" s="26"/>
      <c r="J436" s="26"/>
      <c r="K436" s="26">
        <f>Tabela467946[[#This Row],[Larg. (m)]]*Tabela467946[[#This Row],[Altura (m)]]*Tabela467946[[#This Row],[Quant.]]</f>
        <v>2.0699999999999998</v>
      </c>
      <c r="L436" s="44"/>
    </row>
    <row r="437" spans="2:12" x14ac:dyDescent="0.2">
      <c r="B437" s="24"/>
      <c r="C437" s="32" t="s">
        <v>611</v>
      </c>
      <c r="D437" s="26">
        <v>4.96</v>
      </c>
      <c r="E437" s="26">
        <v>3</v>
      </c>
      <c r="F437" s="26">
        <v>1</v>
      </c>
      <c r="G437" s="26"/>
      <c r="H437" s="26"/>
      <c r="I437" s="26"/>
      <c r="J437" s="26"/>
      <c r="K437" s="26">
        <f>Tabela467946[[#This Row],[Larg. (m)]]*Tabela467946[[#This Row],[Altura (m)]]*Tabela467946[[#This Row],[Quant.]]</f>
        <v>14.879999999999999</v>
      </c>
      <c r="L437" s="44"/>
    </row>
    <row r="438" spans="2:12" x14ac:dyDescent="0.2">
      <c r="B438" s="24"/>
      <c r="C438" s="139" t="s">
        <v>739</v>
      </c>
      <c r="D438" s="140">
        <f>0.6+0.6+1.26+1.33+2.59</f>
        <v>6.38</v>
      </c>
      <c r="E438" s="140">
        <v>3</v>
      </c>
      <c r="F438" s="140">
        <v>2</v>
      </c>
      <c r="G438" s="140"/>
      <c r="H438" s="140"/>
      <c r="I438" s="140"/>
      <c r="J438" s="140"/>
      <c r="K438" s="140">
        <f>Tabela467946[[#This Row],[Larg. (m)]]*Tabela467946[[#This Row],[Altura (m)]]*Tabela467946[[#This Row],[Quant.]]</f>
        <v>38.28</v>
      </c>
      <c r="L438" s="140" t="s">
        <v>741</v>
      </c>
    </row>
    <row r="439" spans="2:12" x14ac:dyDescent="0.2">
      <c r="B439" s="24"/>
      <c r="C439" s="32" t="s">
        <v>614</v>
      </c>
      <c r="D439" s="26">
        <v>4.18</v>
      </c>
      <c r="E439" s="26">
        <v>3</v>
      </c>
      <c r="F439" s="26">
        <v>1</v>
      </c>
      <c r="G439" s="26"/>
      <c r="H439" s="26"/>
      <c r="I439" s="26"/>
      <c r="J439" s="26"/>
      <c r="K439" s="26">
        <f>Tabela467946[[#This Row],[Larg. (m)]]*Tabela467946[[#This Row],[Altura (m)]]*Tabela467946[[#This Row],[Quant.]]</f>
        <v>12.54</v>
      </c>
      <c r="L439" s="44"/>
    </row>
    <row r="440" spans="2:12" x14ac:dyDescent="0.2">
      <c r="B440" s="24"/>
      <c r="C440" s="32" t="s">
        <v>380</v>
      </c>
      <c r="D440" s="26">
        <v>1</v>
      </c>
      <c r="E440" s="26">
        <v>1.8</v>
      </c>
      <c r="F440" s="26">
        <v>-2</v>
      </c>
      <c r="G440" s="26"/>
      <c r="H440" s="26"/>
      <c r="I440" s="26"/>
      <c r="J440" s="26"/>
      <c r="K440" s="26">
        <f>Tabela467946[[#This Row],[Larg. (m)]]*Tabela467946[[#This Row],[Altura (m)]]*Tabela467946[[#This Row],[Quant.]]</f>
        <v>-3.6</v>
      </c>
      <c r="L440" s="44"/>
    </row>
    <row r="441" spans="2:12" x14ac:dyDescent="0.2">
      <c r="B441" s="24"/>
      <c r="C441" s="32" t="s">
        <v>612</v>
      </c>
      <c r="D441" s="26">
        <v>0.5</v>
      </c>
      <c r="E441" s="26">
        <v>3</v>
      </c>
      <c r="F441" s="26">
        <v>1</v>
      </c>
      <c r="G441" s="26"/>
      <c r="H441" s="26"/>
      <c r="I441" s="26"/>
      <c r="J441" s="26"/>
      <c r="K441" s="26">
        <f>Tabela467946[[#This Row],[Larg. (m)]]*Tabela467946[[#This Row],[Altura (m)]]*Tabela467946[[#This Row],[Quant.]]</f>
        <v>1.5</v>
      </c>
      <c r="L441" s="44"/>
    </row>
    <row r="442" spans="2:12" x14ac:dyDescent="0.2">
      <c r="B442" s="24"/>
      <c r="C442" s="32" t="s">
        <v>613</v>
      </c>
      <c r="D442" s="26">
        <v>1.26</v>
      </c>
      <c r="E442" s="26">
        <v>3</v>
      </c>
      <c r="F442" s="26">
        <v>1</v>
      </c>
      <c r="G442" s="26"/>
      <c r="H442" s="26"/>
      <c r="I442" s="26"/>
      <c r="J442" s="26"/>
      <c r="K442" s="26">
        <f>Tabela467946[[#This Row],[Larg. (m)]]*Tabela467946[[#This Row],[Altura (m)]]*Tabela467946[[#This Row],[Quant.]]</f>
        <v>3.7800000000000002</v>
      </c>
      <c r="L442" s="44"/>
    </row>
    <row r="443" spans="2:12" x14ac:dyDescent="0.2">
      <c r="B443" s="24"/>
      <c r="C443" s="32" t="s">
        <v>381</v>
      </c>
      <c r="D443" s="26">
        <v>2.6</v>
      </c>
      <c r="E443" s="26">
        <v>3</v>
      </c>
      <c r="F443" s="26">
        <v>1</v>
      </c>
      <c r="G443" s="26"/>
      <c r="H443" s="26"/>
      <c r="I443" s="26"/>
      <c r="J443" s="26"/>
      <c r="K443" s="26">
        <f>Tabela467946[[#This Row],[Larg. (m)]]*Tabela467946[[#This Row],[Altura (m)]]*Tabela467946[[#This Row],[Quant.]]</f>
        <v>7.8000000000000007</v>
      </c>
      <c r="L443" s="44"/>
    </row>
    <row r="444" spans="2:12" x14ac:dyDescent="0.2">
      <c r="B444" s="24"/>
      <c r="C444" s="32" t="s">
        <v>382</v>
      </c>
      <c r="D444" s="26">
        <v>3.2</v>
      </c>
      <c r="E444" s="26">
        <v>3</v>
      </c>
      <c r="F444" s="26">
        <v>1</v>
      </c>
      <c r="G444" s="26"/>
      <c r="H444" s="26"/>
      <c r="I444" s="26"/>
      <c r="J444" s="26"/>
      <c r="K444" s="26">
        <f>Tabela467946[[#This Row],[Larg. (m)]]*Tabela467946[[#This Row],[Altura (m)]]*Tabela467946[[#This Row],[Quant.]]</f>
        <v>9.6000000000000014</v>
      </c>
      <c r="L444" s="44"/>
    </row>
    <row r="445" spans="2:12" x14ac:dyDescent="0.2">
      <c r="B445" s="24"/>
      <c r="C445" s="32" t="s">
        <v>383</v>
      </c>
      <c r="D445" s="26">
        <v>3.85</v>
      </c>
      <c r="E445" s="26">
        <v>3</v>
      </c>
      <c r="F445" s="26">
        <v>2</v>
      </c>
      <c r="G445" s="26"/>
      <c r="H445" s="26"/>
      <c r="I445" s="26"/>
      <c r="J445" s="26"/>
      <c r="K445" s="26">
        <f>Tabela467946[[#This Row],[Larg. (m)]]*Tabela467946[[#This Row],[Altura (m)]]*Tabela467946[[#This Row],[Quant.]]</f>
        <v>23.1</v>
      </c>
      <c r="L445" s="44"/>
    </row>
    <row r="446" spans="2:12" x14ac:dyDescent="0.2">
      <c r="B446" s="24"/>
      <c r="C446" s="32" t="s">
        <v>378</v>
      </c>
      <c r="D446" s="26">
        <v>3.5</v>
      </c>
      <c r="E446" s="26">
        <v>3</v>
      </c>
      <c r="F446" s="26">
        <v>1</v>
      </c>
      <c r="G446" s="26"/>
      <c r="H446" s="26"/>
      <c r="I446" s="26"/>
      <c r="J446" s="26"/>
      <c r="K446" s="26">
        <f>Tabela467946[[#This Row],[Larg. (m)]]*Tabela467946[[#This Row],[Altura (m)]]*Tabela467946[[#This Row],[Quant.]]</f>
        <v>10.5</v>
      </c>
      <c r="L446" s="44"/>
    </row>
    <row r="447" spans="2:12" x14ac:dyDescent="0.2">
      <c r="B447" s="24"/>
      <c r="C447" s="32" t="s">
        <v>384</v>
      </c>
      <c r="D447" s="26">
        <v>0.7</v>
      </c>
      <c r="E447" s="26">
        <v>2.1</v>
      </c>
      <c r="F447" s="26">
        <v>-4</v>
      </c>
      <c r="G447" s="26"/>
      <c r="H447" s="26"/>
      <c r="I447" s="26"/>
      <c r="J447" s="26"/>
      <c r="K447" s="26">
        <f>Tabela467946[[#This Row],[Larg. (m)]]*Tabela467946[[#This Row],[Altura (m)]]*Tabela467946[[#This Row],[Quant.]]</f>
        <v>-5.88</v>
      </c>
      <c r="L447" s="44"/>
    </row>
    <row r="448" spans="2:12" x14ac:dyDescent="0.2">
      <c r="B448" s="24"/>
      <c r="C448" s="32" t="s">
        <v>385</v>
      </c>
      <c r="D448" s="26">
        <v>1.2</v>
      </c>
      <c r="E448" s="26">
        <v>3</v>
      </c>
      <c r="F448" s="26">
        <v>2</v>
      </c>
      <c r="G448" s="26"/>
      <c r="H448" s="26"/>
      <c r="I448" s="26"/>
      <c r="J448" s="26"/>
      <c r="K448" s="26">
        <f>Tabela467946[[#This Row],[Larg. (m)]]*Tabela467946[[#This Row],[Altura (m)]]*Tabela467946[[#This Row],[Quant.]]</f>
        <v>7.1999999999999993</v>
      </c>
      <c r="L448" s="44"/>
    </row>
    <row r="449" spans="2:12" x14ac:dyDescent="0.2">
      <c r="B449" s="24"/>
      <c r="C449" s="32" t="s">
        <v>386</v>
      </c>
      <c r="D449" s="26">
        <v>2.52</v>
      </c>
      <c r="E449" s="26">
        <v>3</v>
      </c>
      <c r="F449" s="26">
        <v>2</v>
      </c>
      <c r="G449" s="26"/>
      <c r="H449" s="26"/>
      <c r="I449" s="26"/>
      <c r="J449" s="26"/>
      <c r="K449" s="26">
        <f>Tabela467946[[#This Row],[Larg. (m)]]*Tabela467946[[#This Row],[Altura (m)]]*Tabela467946[[#This Row],[Quant.]]</f>
        <v>15.120000000000001</v>
      </c>
      <c r="L449" s="44"/>
    </row>
    <row r="450" spans="2:12" x14ac:dyDescent="0.2">
      <c r="B450" s="24"/>
      <c r="C450" s="32" t="s">
        <v>387</v>
      </c>
      <c r="D450" s="26">
        <v>29.65</v>
      </c>
      <c r="E450" s="26">
        <v>3</v>
      </c>
      <c r="F450" s="26">
        <v>1</v>
      </c>
      <c r="G450" s="26"/>
      <c r="H450" s="26"/>
      <c r="I450" s="26"/>
      <c r="J450" s="26"/>
      <c r="K450" s="26">
        <f>Tabela467946[[#This Row],[Larg. (m)]]*Tabela467946[[#This Row],[Altura (m)]]*Tabela467946[[#This Row],[Quant.]]</f>
        <v>88.949999999999989</v>
      </c>
      <c r="L450" s="44"/>
    </row>
    <row r="451" spans="2:12" x14ac:dyDescent="0.2">
      <c r="B451" s="24"/>
      <c r="C451" s="32" t="s">
        <v>471</v>
      </c>
      <c r="D451" s="44">
        <v>6.85</v>
      </c>
      <c r="E451" s="44">
        <v>3</v>
      </c>
      <c r="F451" s="44">
        <v>2</v>
      </c>
      <c r="G451" s="44"/>
      <c r="H451" s="44"/>
      <c r="I451" s="44"/>
      <c r="J451" s="44"/>
      <c r="K451" s="44">
        <f>Tabela467946[[#This Row],[Larg. (m)]]*Tabela467946[[#This Row],[Altura (m)]]*Tabela467946[[#This Row],[Quant.]]</f>
        <v>41.099999999999994</v>
      </c>
      <c r="L451" s="44"/>
    </row>
    <row r="452" spans="2:12" x14ac:dyDescent="0.2">
      <c r="B452" s="24"/>
      <c r="C452" s="32" t="s">
        <v>615</v>
      </c>
      <c r="D452" s="44">
        <v>3.9</v>
      </c>
      <c r="E452" s="44">
        <v>3</v>
      </c>
      <c r="F452" s="44">
        <v>2</v>
      </c>
      <c r="G452" s="44"/>
      <c r="H452" s="44"/>
      <c r="I452" s="44"/>
      <c r="J452" s="44"/>
      <c r="K452" s="44">
        <f>Tabela467946[[#This Row],[Larg. (m)]]*Tabela467946[[#This Row],[Altura (m)]]*Tabela467946[[#This Row],[Quant.]]</f>
        <v>23.4</v>
      </c>
      <c r="L452" s="44"/>
    </row>
    <row r="453" spans="2:12" x14ac:dyDescent="0.2">
      <c r="B453" s="24"/>
      <c r="C453" s="32" t="s">
        <v>468</v>
      </c>
      <c r="D453" s="44">
        <v>1.35</v>
      </c>
      <c r="E453" s="44">
        <v>3</v>
      </c>
      <c r="F453" s="44">
        <v>2</v>
      </c>
      <c r="G453" s="44"/>
      <c r="H453" s="44"/>
      <c r="I453" s="44"/>
      <c r="J453" s="44"/>
      <c r="K453" s="44">
        <f>Tabela467946[[#This Row],[Larg. (m)]]*Tabela467946[[#This Row],[Altura (m)]]*Tabela467946[[#This Row],[Quant.]]</f>
        <v>8.1000000000000014</v>
      </c>
      <c r="L453" s="44"/>
    </row>
    <row r="454" spans="2:12" x14ac:dyDescent="0.2">
      <c r="B454" s="24"/>
      <c r="C454" s="32" t="s">
        <v>472</v>
      </c>
      <c r="D454" s="44">
        <v>1.3</v>
      </c>
      <c r="E454" s="44">
        <v>3</v>
      </c>
      <c r="F454" s="44">
        <v>2</v>
      </c>
      <c r="G454" s="44"/>
      <c r="H454" s="44"/>
      <c r="I454" s="44"/>
      <c r="J454" s="44"/>
      <c r="K454" s="44">
        <f>Tabela467946[[#This Row],[Larg. (m)]]*Tabela467946[[#This Row],[Altura (m)]]*Tabela467946[[#This Row],[Quant.]]</f>
        <v>7.8000000000000007</v>
      </c>
      <c r="L454" s="44"/>
    </row>
    <row r="455" spans="2:12" x14ac:dyDescent="0.2">
      <c r="B455" s="24"/>
      <c r="C455" s="32" t="s">
        <v>440</v>
      </c>
      <c r="D455" s="44">
        <v>3.5</v>
      </c>
      <c r="E455" s="44">
        <v>3</v>
      </c>
      <c r="F455" s="44">
        <v>2</v>
      </c>
      <c r="G455" s="44"/>
      <c r="H455" s="44"/>
      <c r="I455" s="44"/>
      <c r="J455" s="44"/>
      <c r="K455" s="44">
        <f>Tabela467946[[#This Row],[Larg. (m)]]*Tabela467946[[#This Row],[Altura (m)]]*Tabela467946[[#This Row],[Quant.]]</f>
        <v>21</v>
      </c>
      <c r="L455" s="44"/>
    </row>
    <row r="456" spans="2:12" x14ac:dyDescent="0.2">
      <c r="B456" s="24"/>
      <c r="C456" s="32" t="s">
        <v>441</v>
      </c>
      <c r="D456" s="44">
        <v>4.2</v>
      </c>
      <c r="E456" s="44">
        <v>3</v>
      </c>
      <c r="F456" s="44">
        <v>2</v>
      </c>
      <c r="G456" s="44"/>
      <c r="H456" s="44"/>
      <c r="I456" s="44"/>
      <c r="J456" s="44"/>
      <c r="K456" s="44">
        <f>Tabela467946[[#This Row],[Larg. (m)]]*Tabela467946[[#This Row],[Altura (m)]]*Tabela467946[[#This Row],[Quant.]]</f>
        <v>25.200000000000003</v>
      </c>
      <c r="L456" s="44"/>
    </row>
    <row r="457" spans="2:12" x14ac:dyDescent="0.2">
      <c r="B457" s="46" t="s">
        <v>6</v>
      </c>
      <c r="C457" s="72"/>
      <c r="D457" s="47"/>
      <c r="E457" s="47"/>
      <c r="F457" s="47"/>
      <c r="G457" s="47"/>
      <c r="H457" s="47"/>
      <c r="I457" s="47"/>
      <c r="J457" s="47"/>
      <c r="K457" s="48">
        <f>SUBTOTAL(109,Tabela467946[Total])</f>
        <v>388.35</v>
      </c>
      <c r="L457" s="47"/>
    </row>
    <row r="459" spans="2:12" x14ac:dyDescent="0.2">
      <c r="B459" s="29" t="s">
        <v>302</v>
      </c>
      <c r="C459" s="150" t="s">
        <v>303</v>
      </c>
      <c r="D459" s="150"/>
      <c r="E459" s="150"/>
      <c r="F459" s="150"/>
      <c r="G459" s="150"/>
      <c r="H459" s="150"/>
      <c r="I459" s="150"/>
      <c r="J459" s="29" t="s">
        <v>243</v>
      </c>
      <c r="K459" s="29" t="s">
        <v>304</v>
      </c>
    </row>
    <row r="460" spans="2:12" x14ac:dyDescent="0.2">
      <c r="B460" s="85" t="str">
        <f>MEDIÇÃO!A137</f>
        <v xml:space="preserve"> 8.6</v>
      </c>
      <c r="C460" s="151" t="str">
        <f>MEDIÇÃO!D137</f>
        <v>BOISERIE / RODAMEIO EM GESSO PARA DECORAÇÃO DE PAREDE</v>
      </c>
      <c r="D460" s="151"/>
      <c r="E460" s="151"/>
      <c r="F460" s="151"/>
      <c r="G460" s="151"/>
      <c r="H460" s="151"/>
      <c r="I460" s="151"/>
      <c r="J460" s="85" t="str">
        <f>MEDIÇÃO!E137</f>
        <v>m</v>
      </c>
      <c r="K460" s="86">
        <f>TRUNC(Tabela46794041[[#Totals],[Total]],2)</f>
        <v>0</v>
      </c>
      <c r="L460" s="59" t="s">
        <v>465</v>
      </c>
    </row>
    <row r="461" spans="2:12" x14ac:dyDescent="0.2">
      <c r="B461" s="23" t="s">
        <v>0</v>
      </c>
      <c r="C461" s="69" t="s">
        <v>305</v>
      </c>
      <c r="D461" s="23" t="s">
        <v>5</v>
      </c>
      <c r="E461" s="23" t="s">
        <v>318</v>
      </c>
      <c r="F461" s="23" t="s">
        <v>308</v>
      </c>
      <c r="G461" s="23" t="s">
        <v>309</v>
      </c>
      <c r="H461" s="23" t="s">
        <v>310</v>
      </c>
      <c r="I461" s="23" t="s">
        <v>311</v>
      </c>
      <c r="J461" s="23" t="s">
        <v>312</v>
      </c>
      <c r="K461" s="23" t="s">
        <v>6</v>
      </c>
    </row>
    <row r="462" spans="2:12" x14ac:dyDescent="0.2">
      <c r="B462" s="24"/>
      <c r="C462" s="32" t="s">
        <v>353</v>
      </c>
      <c r="D462" s="142"/>
      <c r="E462" s="142"/>
      <c r="F462" s="26"/>
      <c r="G462" s="26"/>
      <c r="H462" s="26"/>
      <c r="I462" s="26"/>
      <c r="J462" s="26"/>
      <c r="K462" s="26">
        <f>Tabela46794041[[#This Row],[Quant.]]*Tabela46794041[[#This Row],[Comp. (m)]]</f>
        <v>0</v>
      </c>
    </row>
    <row r="463" spans="2:12" x14ac:dyDescent="0.2">
      <c r="B463" s="24"/>
      <c r="C463" s="32" t="s">
        <v>354</v>
      </c>
      <c r="D463" s="142"/>
      <c r="E463" s="142"/>
      <c r="F463" s="26"/>
      <c r="G463" s="26"/>
      <c r="H463" s="26"/>
      <c r="I463" s="26"/>
      <c r="J463" s="26"/>
      <c r="K463" s="26">
        <f>Tabela46794041[[#This Row],[Quant.]]*Tabela46794041[[#This Row],[Comp. (m)]]</f>
        <v>0</v>
      </c>
    </row>
    <row r="464" spans="2:12" x14ac:dyDescent="0.2">
      <c r="B464" s="24"/>
      <c r="C464" s="32" t="s">
        <v>355</v>
      </c>
      <c r="D464" s="142"/>
      <c r="E464" s="142"/>
      <c r="F464" s="26"/>
      <c r="G464" s="26"/>
      <c r="H464" s="26"/>
      <c r="I464" s="26"/>
      <c r="J464" s="26"/>
      <c r="K464" s="26">
        <f>Tabela46794041[[#This Row],[Quant.]]*Tabela46794041[[#This Row],[Comp. (m)]]</f>
        <v>0</v>
      </c>
    </row>
    <row r="465" spans="2:12" x14ac:dyDescent="0.2">
      <c r="B465" s="24"/>
      <c r="C465" s="32" t="s">
        <v>356</v>
      </c>
      <c r="D465" s="142"/>
      <c r="E465" s="142"/>
      <c r="F465" s="26"/>
      <c r="G465" s="26"/>
      <c r="H465" s="26"/>
      <c r="I465" s="26"/>
      <c r="J465" s="26"/>
      <c r="K465" s="26">
        <f>Tabela46794041[[#This Row],[Quant.]]*Tabela46794041[[#This Row],[Comp. (m)]]</f>
        <v>0</v>
      </c>
    </row>
    <row r="466" spans="2:12" x14ac:dyDescent="0.2">
      <c r="B466" s="24"/>
      <c r="C466" s="32" t="s">
        <v>357</v>
      </c>
      <c r="D466" s="142"/>
      <c r="E466" s="142"/>
      <c r="F466" s="26"/>
      <c r="G466" s="26"/>
      <c r="H466" s="26"/>
      <c r="I466" s="26"/>
      <c r="J466" s="26"/>
      <c r="K466" s="26">
        <f>Tabela46794041[[#This Row],[Quant.]]*Tabela46794041[[#This Row],[Comp. (m)]]</f>
        <v>0</v>
      </c>
    </row>
    <row r="467" spans="2:12" x14ac:dyDescent="0.2">
      <c r="B467" s="24"/>
      <c r="C467" s="32" t="s">
        <v>358</v>
      </c>
      <c r="D467" s="142"/>
      <c r="E467" s="142"/>
      <c r="F467" s="26"/>
      <c r="G467" s="26"/>
      <c r="H467" s="26"/>
      <c r="I467" s="26"/>
      <c r="J467" s="26"/>
      <c r="K467" s="26">
        <f>Tabela46794041[[#This Row],[Quant.]]*Tabela46794041[[#This Row],[Comp. (m)]]</f>
        <v>0</v>
      </c>
    </row>
    <row r="468" spans="2:12" x14ac:dyDescent="0.2">
      <c r="B468" s="27" t="s">
        <v>6</v>
      </c>
      <c r="K468" s="28">
        <f>SUBTOTAL(109,Tabela46794041[Total])</f>
        <v>0</v>
      </c>
    </row>
    <row r="469" spans="2:12" x14ac:dyDescent="0.2">
      <c r="K469" s="28"/>
    </row>
    <row r="470" spans="2:12" x14ac:dyDescent="0.2">
      <c r="B470" s="29" t="s">
        <v>302</v>
      </c>
      <c r="C470" s="150" t="s">
        <v>303</v>
      </c>
      <c r="D470" s="150"/>
      <c r="E470" s="150"/>
      <c r="F470" s="150"/>
      <c r="G470" s="150"/>
      <c r="H470" s="150"/>
      <c r="I470" s="150"/>
      <c r="J470" s="29" t="s">
        <v>243</v>
      </c>
      <c r="K470" s="29" t="s">
        <v>304</v>
      </c>
    </row>
    <row r="471" spans="2:12" x14ac:dyDescent="0.2">
      <c r="B471" s="85" t="str">
        <f>MEDIÇÃO!A138</f>
        <v xml:space="preserve"> 8.7</v>
      </c>
      <c r="C471" s="151" t="str">
        <f>MEDIÇÃO!D138</f>
        <v>FUNDO SELADOR ACRÍLICO, APLICAÇÃO MANUAL EM PAREDE, UMA DEMÃO. AF_04/2023</v>
      </c>
      <c r="D471" s="151"/>
      <c r="E471" s="151"/>
      <c r="F471" s="151"/>
      <c r="G471" s="151"/>
      <c r="H471" s="151"/>
      <c r="I471" s="151"/>
      <c r="J471" s="85" t="str">
        <f>MEDIÇÃO!E138</f>
        <v>m²</v>
      </c>
      <c r="K471" s="86">
        <f>TRUNC(Tabela467944[[#Totals],[Total]],2)</f>
        <v>4.4000000000000004</v>
      </c>
      <c r="L471" s="59" t="s">
        <v>465</v>
      </c>
    </row>
    <row r="472" spans="2:12" x14ac:dyDescent="0.2">
      <c r="B472" s="23" t="s">
        <v>0</v>
      </c>
      <c r="C472" s="69" t="s">
        <v>305</v>
      </c>
      <c r="D472" s="23" t="s">
        <v>323</v>
      </c>
      <c r="E472" s="23" t="s">
        <v>324</v>
      </c>
      <c r="F472" s="23" t="s">
        <v>5</v>
      </c>
      <c r="G472" s="23" t="s">
        <v>309</v>
      </c>
      <c r="H472" s="23" t="s">
        <v>310</v>
      </c>
      <c r="I472" s="23" t="s">
        <v>311</v>
      </c>
      <c r="J472" s="23" t="s">
        <v>312</v>
      </c>
      <c r="K472" s="23" t="s">
        <v>6</v>
      </c>
    </row>
    <row r="473" spans="2:12" x14ac:dyDescent="0.2">
      <c r="B473" s="24"/>
      <c r="C473" s="32" t="s">
        <v>377</v>
      </c>
      <c r="D473" s="26">
        <v>1</v>
      </c>
      <c r="E473" s="26">
        <v>2.2000000000000002</v>
      </c>
      <c r="F473" s="26">
        <v>2</v>
      </c>
      <c r="G473" s="26"/>
      <c r="H473" s="26"/>
      <c r="I473" s="26"/>
      <c r="J473" s="26"/>
      <c r="K473" s="26">
        <f>Tabela467944[[#This Row],[Larg. (m)]]*Tabela467944[[#This Row],[Altura (m)]]*Tabela467944[[#This Row],[Quant.]]</f>
        <v>4.4000000000000004</v>
      </c>
    </row>
    <row r="474" spans="2:12" x14ac:dyDescent="0.2">
      <c r="B474" s="27" t="s">
        <v>6</v>
      </c>
      <c r="K474" s="28">
        <f>SUBTOTAL(109,Tabela467944[Total])</f>
        <v>4.4000000000000004</v>
      </c>
    </row>
    <row r="475" spans="2:12" x14ac:dyDescent="0.2">
      <c r="K475" s="28"/>
    </row>
    <row r="476" spans="2:12" x14ac:dyDescent="0.2">
      <c r="B476" s="29" t="s">
        <v>302</v>
      </c>
      <c r="C476" s="150" t="s">
        <v>303</v>
      </c>
      <c r="D476" s="150"/>
      <c r="E476" s="150"/>
      <c r="F476" s="150"/>
      <c r="G476" s="150"/>
      <c r="H476" s="150"/>
      <c r="I476" s="150"/>
      <c r="J476" s="29" t="s">
        <v>243</v>
      </c>
      <c r="K476" s="29" t="s">
        <v>304</v>
      </c>
    </row>
    <row r="477" spans="2:12" x14ac:dyDescent="0.2">
      <c r="B477" s="85" t="str">
        <f>MEDIÇÃO!A139</f>
        <v xml:space="preserve"> 8.8</v>
      </c>
      <c r="C477" s="151" t="str">
        <f>MEDIÇÃO!D139</f>
        <v>FUNDO SELADOR ACRÍLICO, APLICAÇÃO MANUAL EM TETO, UMA DEMÃO. AF_04/2023</v>
      </c>
      <c r="D477" s="151"/>
      <c r="E477" s="151"/>
      <c r="F477" s="151"/>
      <c r="G477" s="151"/>
      <c r="H477" s="151"/>
      <c r="I477" s="151"/>
      <c r="J477" s="85" t="str">
        <f>MEDIÇÃO!E139</f>
        <v>m²</v>
      </c>
      <c r="K477" s="86">
        <f>TRUNC(Tabela467945[[#Totals],[Total]],2)</f>
        <v>52.22</v>
      </c>
      <c r="L477" s="59" t="s">
        <v>465</v>
      </c>
    </row>
    <row r="478" spans="2:12" x14ac:dyDescent="0.2">
      <c r="B478" s="23" t="s">
        <v>0</v>
      </c>
      <c r="C478" s="69" t="s">
        <v>305</v>
      </c>
      <c r="D478" s="23" t="s">
        <v>323</v>
      </c>
      <c r="E478" s="23" t="s">
        <v>318</v>
      </c>
      <c r="F478" s="23" t="s">
        <v>308</v>
      </c>
      <c r="G478" s="23" t="s">
        <v>309</v>
      </c>
      <c r="H478" s="23" t="s">
        <v>310</v>
      </c>
      <c r="I478" s="23" t="s">
        <v>311</v>
      </c>
      <c r="J478" s="23" t="s">
        <v>312</v>
      </c>
      <c r="K478" s="23" t="s">
        <v>6</v>
      </c>
    </row>
    <row r="479" spans="2:12" x14ac:dyDescent="0.2">
      <c r="B479" s="24"/>
      <c r="C479" s="32" t="s">
        <v>379</v>
      </c>
      <c r="D479" s="26">
        <v>8.25</v>
      </c>
      <c r="E479" s="26">
        <v>6.33</v>
      </c>
      <c r="F479" s="26"/>
      <c r="G479" s="26"/>
      <c r="H479" s="26"/>
      <c r="I479" s="26"/>
      <c r="J479" s="26"/>
      <c r="K479" s="26">
        <f>Tabela467945[[#This Row],[Larg. (m)]]*Tabela467945[[#This Row],[Comp. (m)]]</f>
        <v>52.222500000000004</v>
      </c>
    </row>
    <row r="480" spans="2:12" x14ac:dyDescent="0.2">
      <c r="B480" s="27" t="s">
        <v>6</v>
      </c>
      <c r="K480" s="28">
        <f>SUBTOTAL(109,Tabela467945[Total])</f>
        <v>52.222500000000004</v>
      </c>
    </row>
    <row r="481" spans="2:12" x14ac:dyDescent="0.2">
      <c r="K481" s="28"/>
    </row>
    <row r="482" spans="2:12" x14ac:dyDescent="0.2">
      <c r="B482" s="29" t="s">
        <v>302</v>
      </c>
      <c r="C482" s="150" t="s">
        <v>303</v>
      </c>
      <c r="D482" s="150"/>
      <c r="E482" s="150"/>
      <c r="F482" s="150"/>
      <c r="G482" s="150"/>
      <c r="H482" s="150"/>
      <c r="I482" s="150"/>
      <c r="J482" s="29" t="s">
        <v>243</v>
      </c>
      <c r="K482" s="29" t="s">
        <v>304</v>
      </c>
    </row>
    <row r="483" spans="2:12" x14ac:dyDescent="0.2">
      <c r="B483" s="85" t="str">
        <f>MEDIÇÃO!A140</f>
        <v xml:space="preserve"> 8.9</v>
      </c>
      <c r="C483" s="151" t="str">
        <f>MEDIÇÃO!D140</f>
        <v>LIXAMENTO DE MADEIRA PARA APLICAÇÃO DE FUNDO OU PINTURA. AF_01/2021</v>
      </c>
      <c r="D483" s="151"/>
      <c r="E483" s="151"/>
      <c r="F483" s="151"/>
      <c r="G483" s="151"/>
      <c r="H483" s="151"/>
      <c r="I483" s="151"/>
      <c r="J483" s="85" t="str">
        <f>MEDIÇÃO!E140</f>
        <v>m²</v>
      </c>
      <c r="K483" s="114">
        <f>TRUNC(Tabela467948[[#Totals],[Total]],2)</f>
        <v>37.950000000000003</v>
      </c>
      <c r="L483" s="59" t="s">
        <v>465</v>
      </c>
    </row>
    <row r="484" spans="2:12" x14ac:dyDescent="0.2">
      <c r="B484" s="23" t="s">
        <v>0</v>
      </c>
      <c r="C484" s="69" t="s">
        <v>305</v>
      </c>
      <c r="D484" s="23" t="s">
        <v>5</v>
      </c>
      <c r="E484" s="23" t="s">
        <v>318</v>
      </c>
      <c r="F484" s="23" t="s">
        <v>323</v>
      </c>
      <c r="G484" s="23" t="s">
        <v>389</v>
      </c>
      <c r="H484" s="23" t="s">
        <v>310</v>
      </c>
      <c r="I484" s="23" t="s">
        <v>311</v>
      </c>
      <c r="J484" s="23" t="s">
        <v>312</v>
      </c>
      <c r="K484" s="23" t="s">
        <v>6</v>
      </c>
    </row>
    <row r="485" spans="2:12" x14ac:dyDescent="0.2">
      <c r="B485" s="24"/>
      <c r="C485" s="32" t="s">
        <v>390</v>
      </c>
      <c r="D485" s="26">
        <v>10</v>
      </c>
      <c r="E485" s="26">
        <v>2.1</v>
      </c>
      <c r="F485" s="26">
        <v>0.7</v>
      </c>
      <c r="G485" s="26">
        <v>2</v>
      </c>
      <c r="H485" s="26"/>
      <c r="I485" s="26"/>
      <c r="J485" s="26"/>
      <c r="K485" s="26">
        <f>Tabela467948[[#This Row],[Quant.]]*Tabela467948[[#This Row],[Comp. (m)]]*Tabela467948[[#This Row],[Larg. (m)]]*Tabela467948[[#This Row],[Lados]]</f>
        <v>29.4</v>
      </c>
    </row>
    <row r="486" spans="2:12" x14ac:dyDescent="0.2">
      <c r="B486" s="24"/>
      <c r="C486" s="32" t="s">
        <v>391</v>
      </c>
      <c r="D486" s="26">
        <v>5</v>
      </c>
      <c r="E486" s="26">
        <v>0.9</v>
      </c>
      <c r="F486" s="26">
        <v>0.7</v>
      </c>
      <c r="G486" s="26">
        <v>2</v>
      </c>
      <c r="H486" s="26"/>
      <c r="I486" s="26"/>
      <c r="J486" s="26"/>
      <c r="K486" s="26">
        <f>Tabela467948[[#This Row],[Quant.]]*Tabela467948[[#This Row],[Comp. (m)]]*Tabela467948[[#This Row],[Larg. (m)]]*Tabela467948[[#This Row],[Lados]]</f>
        <v>6.3</v>
      </c>
    </row>
    <row r="487" spans="2:12" x14ac:dyDescent="0.2">
      <c r="B487" s="24"/>
      <c r="C487" s="32" t="s">
        <v>392</v>
      </c>
      <c r="D487" s="26">
        <v>10</v>
      </c>
      <c r="E487" s="26">
        <v>2.1</v>
      </c>
      <c r="F487" s="26">
        <v>0.09</v>
      </c>
      <c r="G487" s="26">
        <v>1</v>
      </c>
      <c r="H487" s="26"/>
      <c r="I487" s="26"/>
      <c r="J487" s="26"/>
      <c r="K487" s="26">
        <f>Tabela467948[[#This Row],[Quant.]]*Tabela467948[[#This Row],[Comp. (m)]]*Tabela467948[[#This Row],[Larg. (m)]]*Tabela467948[[#This Row],[Lados]]</f>
        <v>1.89</v>
      </c>
    </row>
    <row r="488" spans="2:12" x14ac:dyDescent="0.2">
      <c r="B488" s="24"/>
      <c r="C488" s="32" t="s">
        <v>393</v>
      </c>
      <c r="D488" s="26">
        <v>5</v>
      </c>
      <c r="E488" s="26">
        <v>0.8</v>
      </c>
      <c r="F488" s="26">
        <v>0.09</v>
      </c>
      <c r="G488" s="26">
        <v>1</v>
      </c>
      <c r="H488" s="26"/>
      <c r="I488" s="26"/>
      <c r="J488" s="26"/>
      <c r="K488" s="26">
        <f>Tabela467948[[#This Row],[Quant.]]*Tabela467948[[#This Row],[Comp. (m)]]*Tabela467948[[#This Row],[Larg. (m)]]*Tabela467948[[#This Row],[Lados]]</f>
        <v>0.36</v>
      </c>
    </row>
    <row r="489" spans="2:12" x14ac:dyDescent="0.2">
      <c r="B489" s="27" t="s">
        <v>6</v>
      </c>
      <c r="K489" s="28">
        <f>SUBTOTAL(109,Tabela467948[Total])</f>
        <v>37.949999999999996</v>
      </c>
    </row>
    <row r="490" spans="2:12" x14ac:dyDescent="0.2">
      <c r="K490" s="28"/>
    </row>
    <row r="491" spans="2:12" x14ac:dyDescent="0.2">
      <c r="B491" s="29" t="s">
        <v>302</v>
      </c>
      <c r="C491" s="150" t="s">
        <v>303</v>
      </c>
      <c r="D491" s="150"/>
      <c r="E491" s="150"/>
      <c r="F491" s="150"/>
      <c r="G491" s="150"/>
      <c r="H491" s="150"/>
      <c r="I491" s="150"/>
      <c r="J491" s="29" t="s">
        <v>243</v>
      </c>
      <c r="K491" s="29" t="s">
        <v>304</v>
      </c>
    </row>
    <row r="492" spans="2:12" x14ac:dyDescent="0.2">
      <c r="B492" s="85" t="str">
        <f>MEDIÇÃO!A141</f>
        <v xml:space="preserve"> 8.10</v>
      </c>
      <c r="C492" s="151" t="str">
        <f>MEDIÇÃO!D141</f>
        <v>PINTURA TINTA DE ACABAMENTO (PIGMENTADA) ESMALTE SINTÉTICO ACETINADO EM MADEIRA, 2 DEMÃOS. AF_01/2021</v>
      </c>
      <c r="D492" s="151"/>
      <c r="E492" s="151"/>
      <c r="F492" s="151"/>
      <c r="G492" s="151"/>
      <c r="H492" s="151"/>
      <c r="I492" s="151"/>
      <c r="J492" s="85" t="str">
        <f>MEDIÇÃO!E141</f>
        <v>m²</v>
      </c>
      <c r="K492" s="114">
        <f>TRUNC(Tabela467949[[#Totals],[Total]],2)</f>
        <v>37.950000000000003</v>
      </c>
      <c r="L492" s="59" t="s">
        <v>465</v>
      </c>
    </row>
    <row r="493" spans="2:12" x14ac:dyDescent="0.2">
      <c r="B493" s="23" t="s">
        <v>0</v>
      </c>
      <c r="C493" s="69" t="s">
        <v>305</v>
      </c>
      <c r="D493" s="23" t="s">
        <v>5</v>
      </c>
      <c r="E493" s="23" t="s">
        <v>318</v>
      </c>
      <c r="F493" s="23" t="s">
        <v>323</v>
      </c>
      <c r="G493" s="23" t="s">
        <v>389</v>
      </c>
      <c r="H493" s="23" t="s">
        <v>310</v>
      </c>
      <c r="I493" s="23" t="s">
        <v>311</v>
      </c>
      <c r="J493" s="23" t="s">
        <v>312</v>
      </c>
      <c r="K493" s="23" t="s">
        <v>6</v>
      </c>
    </row>
    <row r="494" spans="2:12" x14ac:dyDescent="0.2">
      <c r="B494" s="24"/>
      <c r="C494" s="32" t="s">
        <v>390</v>
      </c>
      <c r="D494" s="26">
        <v>10</v>
      </c>
      <c r="E494" s="26">
        <v>2.1</v>
      </c>
      <c r="F494" s="26">
        <v>0.7</v>
      </c>
      <c r="G494" s="26">
        <v>2</v>
      </c>
      <c r="H494" s="26"/>
      <c r="I494" s="26"/>
      <c r="J494" s="26"/>
      <c r="K494" s="26">
        <f>Tabela467949[[#This Row],[Quant.]]*Tabela467949[[#This Row],[Comp. (m)]]*Tabela467949[[#This Row],[Larg. (m)]]*Tabela467949[[#This Row],[Lados]]</f>
        <v>29.4</v>
      </c>
    </row>
    <row r="495" spans="2:12" x14ac:dyDescent="0.2">
      <c r="B495" s="24"/>
      <c r="C495" s="32" t="s">
        <v>391</v>
      </c>
      <c r="D495" s="26">
        <v>5</v>
      </c>
      <c r="E495" s="26">
        <v>0.9</v>
      </c>
      <c r="F495" s="26">
        <v>0.7</v>
      </c>
      <c r="G495" s="26">
        <v>2</v>
      </c>
      <c r="H495" s="26"/>
      <c r="I495" s="26"/>
      <c r="J495" s="26"/>
      <c r="K495" s="26">
        <f>Tabela467949[[#This Row],[Quant.]]*Tabela467949[[#This Row],[Comp. (m)]]*Tabela467949[[#This Row],[Larg. (m)]]*Tabela467949[[#This Row],[Lados]]</f>
        <v>6.3</v>
      </c>
    </row>
    <row r="496" spans="2:12" x14ac:dyDescent="0.2">
      <c r="B496" s="24"/>
      <c r="C496" s="32" t="s">
        <v>392</v>
      </c>
      <c r="D496" s="26">
        <v>10</v>
      </c>
      <c r="E496" s="26">
        <v>2.1</v>
      </c>
      <c r="F496" s="26">
        <v>0.09</v>
      </c>
      <c r="G496" s="26">
        <v>1</v>
      </c>
      <c r="H496" s="26"/>
      <c r="I496" s="26"/>
      <c r="J496" s="26"/>
      <c r="K496" s="26">
        <f>Tabela467949[[#This Row],[Quant.]]*Tabela467949[[#This Row],[Comp. (m)]]*Tabela467949[[#This Row],[Larg. (m)]]*Tabela467949[[#This Row],[Lados]]</f>
        <v>1.89</v>
      </c>
    </row>
    <row r="497" spans="1:12" x14ac:dyDescent="0.2">
      <c r="B497" s="24"/>
      <c r="C497" s="32" t="s">
        <v>393</v>
      </c>
      <c r="D497" s="26">
        <v>5</v>
      </c>
      <c r="E497" s="26">
        <v>0.8</v>
      </c>
      <c r="F497" s="26">
        <v>0.09</v>
      </c>
      <c r="G497" s="26">
        <v>1</v>
      </c>
      <c r="H497" s="26"/>
      <c r="I497" s="26"/>
      <c r="J497" s="26"/>
      <c r="K497" s="26">
        <f>Tabela467949[[#This Row],[Quant.]]*Tabela467949[[#This Row],[Comp. (m)]]*Tabela467949[[#This Row],[Larg. (m)]]*Tabela467949[[#This Row],[Lados]]</f>
        <v>0.36</v>
      </c>
    </row>
    <row r="498" spans="1:12" x14ac:dyDescent="0.2">
      <c r="B498" s="27" t="s">
        <v>6</v>
      </c>
      <c r="K498" s="28">
        <f>SUBTOTAL(109,Tabela467949[Total])</f>
        <v>37.949999999999996</v>
      </c>
    </row>
    <row r="499" spans="1:12" x14ac:dyDescent="0.2">
      <c r="K499" s="28"/>
    </row>
    <row r="500" spans="1:12" x14ac:dyDescent="0.2">
      <c r="B500" s="29" t="s">
        <v>302</v>
      </c>
      <c r="C500" s="150" t="s">
        <v>303</v>
      </c>
      <c r="D500" s="150"/>
      <c r="E500" s="150"/>
      <c r="F500" s="150"/>
      <c r="G500" s="150"/>
      <c r="H500" s="150"/>
      <c r="I500" s="150"/>
      <c r="J500" s="29" t="s">
        <v>243</v>
      </c>
      <c r="K500" s="29" t="s">
        <v>304</v>
      </c>
    </row>
    <row r="501" spans="1:12" s="82" customFormat="1" ht="15" x14ac:dyDescent="0.25">
      <c r="A501" s="20"/>
      <c r="B501" s="85" t="str">
        <f>MEDIÇÃO!A142</f>
        <v xml:space="preserve"> 8.11</v>
      </c>
      <c r="C501" s="151" t="str">
        <f>MEDIÇÃO!D142</f>
        <v>EMASSAMENTO TETO, DUAS DEMÃOS</v>
      </c>
      <c r="D501" s="151"/>
      <c r="E501" s="151"/>
      <c r="F501" s="151"/>
      <c r="G501" s="151"/>
      <c r="H501" s="151"/>
      <c r="I501" s="151"/>
      <c r="J501" s="85" t="str">
        <f>MEDIÇÃO!E142</f>
        <v>m²</v>
      </c>
      <c r="K501" s="86">
        <f>TRUNC(Tabela46794532[[#Totals],[Total]],2)</f>
        <v>52.22</v>
      </c>
      <c r="L501" s="59" t="s">
        <v>465</v>
      </c>
    </row>
    <row r="502" spans="1:12" x14ac:dyDescent="0.2">
      <c r="B502" s="23" t="s">
        <v>0</v>
      </c>
      <c r="C502" s="69" t="s">
        <v>305</v>
      </c>
      <c r="D502" s="23" t="s">
        <v>323</v>
      </c>
      <c r="E502" s="23" t="s">
        <v>318</v>
      </c>
      <c r="F502" s="23" t="s">
        <v>308</v>
      </c>
      <c r="G502" s="23" t="s">
        <v>309</v>
      </c>
      <c r="H502" s="23" t="s">
        <v>310</v>
      </c>
      <c r="I502" s="23" t="s">
        <v>311</v>
      </c>
      <c r="J502" s="23" t="s">
        <v>312</v>
      </c>
      <c r="K502" s="23" t="s">
        <v>6</v>
      </c>
    </row>
    <row r="503" spans="1:12" x14ac:dyDescent="0.2">
      <c r="B503" s="24"/>
      <c r="C503" s="32" t="s">
        <v>379</v>
      </c>
      <c r="D503" s="26">
        <v>8.25</v>
      </c>
      <c r="E503" s="26">
        <v>6.33</v>
      </c>
      <c r="F503" s="26"/>
      <c r="G503" s="26"/>
      <c r="H503" s="26"/>
      <c r="I503" s="26"/>
      <c r="J503" s="26"/>
      <c r="K503" s="26">
        <f>Tabela46794532[[#This Row],[Larg. (m)]]*Tabela46794532[[#This Row],[Comp. (m)]]</f>
        <v>52.222500000000004</v>
      </c>
    </row>
    <row r="504" spans="1:12" x14ac:dyDescent="0.2">
      <c r="B504" s="27" t="s">
        <v>6</v>
      </c>
      <c r="K504" s="28">
        <f>SUBTOTAL(109,Tabela46794532[Total])</f>
        <v>52.222500000000004</v>
      </c>
    </row>
    <row r="505" spans="1:12" x14ac:dyDescent="0.2">
      <c r="K505" s="28"/>
    </row>
    <row r="506" spans="1:12" x14ac:dyDescent="0.2">
      <c r="K506" s="28"/>
    </row>
    <row r="507" spans="1:12" ht="15" x14ac:dyDescent="0.25">
      <c r="A507" s="82"/>
      <c r="B507" s="77" t="str">
        <f>MEDIÇÃO!A143</f>
        <v xml:space="preserve"> 9 </v>
      </c>
      <c r="C507" s="78" t="str">
        <f>MEDIÇÃO!D143</f>
        <v>SERVIÇOS COMPLEMENTARES</v>
      </c>
      <c r="D507" s="79"/>
      <c r="E507" s="79"/>
      <c r="F507" s="79"/>
      <c r="G507" s="79"/>
      <c r="H507" s="79"/>
      <c r="I507" s="79"/>
      <c r="J507" s="79"/>
      <c r="K507" s="80"/>
      <c r="L507" s="81"/>
    </row>
    <row r="508" spans="1:12" x14ac:dyDescent="0.2">
      <c r="K508" s="28"/>
    </row>
    <row r="509" spans="1:12" x14ac:dyDescent="0.2">
      <c r="B509" s="29" t="s">
        <v>302</v>
      </c>
      <c r="C509" s="150" t="s">
        <v>303</v>
      </c>
      <c r="D509" s="150"/>
      <c r="E509" s="150"/>
      <c r="F509" s="150"/>
      <c r="G509" s="150"/>
      <c r="H509" s="150"/>
      <c r="I509" s="150"/>
      <c r="J509" s="29" t="s">
        <v>243</v>
      </c>
      <c r="K509" s="29" t="s">
        <v>304</v>
      </c>
    </row>
    <row r="510" spans="1:12" x14ac:dyDescent="0.2">
      <c r="B510" s="85" t="str">
        <f>MEDIÇÃO!A145</f>
        <v xml:space="preserve"> 9.2</v>
      </c>
      <c r="C510" s="151" t="str">
        <f>MEDIÇÃO!D145</f>
        <v>LONA PLÁSTICA PRETA</v>
      </c>
      <c r="D510" s="151"/>
      <c r="E510" s="151"/>
      <c r="F510" s="151"/>
      <c r="G510" s="151"/>
      <c r="H510" s="151"/>
      <c r="I510" s="151"/>
      <c r="J510" s="85" t="str">
        <f>MEDIÇÃO!E145</f>
        <v>M²</v>
      </c>
      <c r="K510" s="86">
        <f>TRUNC(Tabela4679341[[#Totals],[Total]],2)</f>
        <v>60</v>
      </c>
      <c r="L510" s="59" t="s">
        <v>465</v>
      </c>
    </row>
    <row r="511" spans="1:12" x14ac:dyDescent="0.2">
      <c r="B511" s="23" t="s">
        <v>0</v>
      </c>
      <c r="C511" s="69" t="s">
        <v>305</v>
      </c>
      <c r="D511" s="23" t="s">
        <v>335</v>
      </c>
      <c r="E511" s="23" t="s">
        <v>307</v>
      </c>
      <c r="F511" s="23" t="s">
        <v>308</v>
      </c>
      <c r="G511" s="23" t="s">
        <v>309</v>
      </c>
      <c r="H511" s="23" t="s">
        <v>310</v>
      </c>
      <c r="I511" s="23" t="s">
        <v>311</v>
      </c>
      <c r="J511" s="23" t="s">
        <v>312</v>
      </c>
      <c r="K511" s="23" t="s">
        <v>6</v>
      </c>
    </row>
    <row r="512" spans="1:12" x14ac:dyDescent="0.2">
      <c r="B512" s="24"/>
      <c r="C512" s="32" t="s">
        <v>528</v>
      </c>
      <c r="D512" s="26">
        <v>60</v>
      </c>
      <c r="E512" s="26"/>
      <c r="F512" s="26"/>
      <c r="G512" s="26"/>
      <c r="H512" s="26"/>
      <c r="I512" s="26"/>
      <c r="J512" s="26"/>
      <c r="K512" s="26">
        <f>Tabela4679341[[#This Row],[Área (m²)]]</f>
        <v>60</v>
      </c>
    </row>
    <row r="513" spans="2:12" x14ac:dyDescent="0.2">
      <c r="B513" s="27" t="s">
        <v>6</v>
      </c>
      <c r="K513" s="28">
        <f>SUBTOTAL(109,Tabela4679341[Total])</f>
        <v>60</v>
      </c>
    </row>
    <row r="515" spans="2:12" x14ac:dyDescent="0.2">
      <c r="B515" s="29" t="s">
        <v>302</v>
      </c>
      <c r="C515" s="150" t="s">
        <v>303</v>
      </c>
      <c r="D515" s="150"/>
      <c r="E515" s="150"/>
      <c r="F515" s="150"/>
      <c r="G515" s="150"/>
      <c r="H515" s="150"/>
      <c r="I515" s="150"/>
      <c r="J515" s="29" t="s">
        <v>243</v>
      </c>
      <c r="K515" s="29" t="s">
        <v>304</v>
      </c>
    </row>
    <row r="516" spans="2:12" x14ac:dyDescent="0.2">
      <c r="B516" s="85" t="str">
        <f>MEDIÇÃO!A146</f>
        <v xml:space="preserve"> 9.3</v>
      </c>
      <c r="C516" s="151" t="str">
        <f>MEDIÇÃO!D146</f>
        <v>FORNECIMENTO E APLICAÇÃO DE PAPEL DE PAREDE</v>
      </c>
      <c r="D516" s="151"/>
      <c r="E516" s="151"/>
      <c r="F516" s="151"/>
      <c r="G516" s="151"/>
      <c r="H516" s="151"/>
      <c r="I516" s="151"/>
      <c r="J516" s="85" t="str">
        <f>MEDIÇÃO!E146</f>
        <v>M²</v>
      </c>
      <c r="K516" s="86">
        <f>TRUNC(Tabela467940[[#Totals],[Total]],2)</f>
        <v>43.71</v>
      </c>
      <c r="L516" s="59" t="s">
        <v>465</v>
      </c>
    </row>
    <row r="517" spans="2:12" x14ac:dyDescent="0.2">
      <c r="B517" s="23" t="s">
        <v>0</v>
      </c>
      <c r="C517" s="69" t="s">
        <v>305</v>
      </c>
      <c r="D517" s="23" t="s">
        <v>323</v>
      </c>
      <c r="E517" s="23" t="s">
        <v>324</v>
      </c>
      <c r="F517" s="23" t="s">
        <v>308</v>
      </c>
      <c r="G517" s="23" t="s">
        <v>309</v>
      </c>
      <c r="H517" s="23" t="s">
        <v>310</v>
      </c>
      <c r="I517" s="23" t="s">
        <v>311</v>
      </c>
      <c r="J517" s="23" t="s">
        <v>312</v>
      </c>
      <c r="K517" s="23" t="s">
        <v>6</v>
      </c>
    </row>
    <row r="518" spans="2:12" x14ac:dyDescent="0.2">
      <c r="B518" s="24"/>
      <c r="C518" s="32" t="s">
        <v>328</v>
      </c>
      <c r="D518" s="34">
        <v>3.5</v>
      </c>
      <c r="E518" s="34">
        <v>3</v>
      </c>
      <c r="F518" s="26"/>
      <c r="G518" s="26"/>
      <c r="H518" s="26"/>
      <c r="I518" s="26"/>
      <c r="J518" s="26"/>
      <c r="K518" s="34">
        <f>Tabela467940[[#This Row],[Larg. (m)]]*Tabela467940[[#This Row],[Altura (m)]]</f>
        <v>10.5</v>
      </c>
    </row>
    <row r="519" spans="2:12" x14ac:dyDescent="0.2">
      <c r="B519" s="24"/>
      <c r="C519" s="32" t="s">
        <v>345</v>
      </c>
      <c r="D519" s="34">
        <v>-0.8</v>
      </c>
      <c r="E519" s="34">
        <v>2.1</v>
      </c>
      <c r="F519" s="26"/>
      <c r="G519" s="26"/>
      <c r="H519" s="26"/>
      <c r="I519" s="26"/>
      <c r="J519" s="26"/>
      <c r="K519" s="34">
        <f>Tabela467940[[#This Row],[Larg. (m)]]*Tabela467940[[#This Row],[Altura (m)]]</f>
        <v>-1.6800000000000002</v>
      </c>
    </row>
    <row r="520" spans="2:12" x14ac:dyDescent="0.2">
      <c r="B520" s="24"/>
      <c r="C520" s="32" t="s">
        <v>346</v>
      </c>
      <c r="D520" s="34">
        <v>3.15</v>
      </c>
      <c r="E520" s="34">
        <v>3</v>
      </c>
      <c r="F520" s="26"/>
      <c r="G520" s="26"/>
      <c r="H520" s="26"/>
      <c r="I520" s="26"/>
      <c r="J520" s="26"/>
      <c r="K520" s="34">
        <f>Tabela467940[[#This Row],[Larg. (m)]]*Tabela467940[[#This Row],[Altura (m)]]</f>
        <v>9.4499999999999993</v>
      </c>
    </row>
    <row r="521" spans="2:12" x14ac:dyDescent="0.2">
      <c r="B521" s="24"/>
      <c r="C521" s="32" t="s">
        <v>347</v>
      </c>
      <c r="D521" s="34">
        <v>2.6</v>
      </c>
      <c r="E521" s="34">
        <v>3</v>
      </c>
      <c r="F521" s="26"/>
      <c r="G521" s="26"/>
      <c r="H521" s="26"/>
      <c r="I521" s="26"/>
      <c r="J521" s="26"/>
      <c r="K521" s="34">
        <f>Tabela467940[[#This Row],[Larg. (m)]]*Tabela467940[[#This Row],[Altura (m)]]</f>
        <v>7.8000000000000007</v>
      </c>
    </row>
    <row r="522" spans="2:12" x14ac:dyDescent="0.2">
      <c r="B522" s="24"/>
      <c r="C522" s="32" t="s">
        <v>348</v>
      </c>
      <c r="D522" s="34">
        <v>0.6</v>
      </c>
      <c r="E522" s="34">
        <v>3</v>
      </c>
      <c r="F522" s="26"/>
      <c r="G522" s="26"/>
      <c r="H522" s="26"/>
      <c r="I522" s="26"/>
      <c r="J522" s="26"/>
      <c r="K522" s="34">
        <f>Tabela467940[[#This Row],[Larg. (m)]]*Tabela467940[[#This Row],[Altura (m)]]</f>
        <v>1.7999999999999998</v>
      </c>
    </row>
    <row r="523" spans="2:12" x14ac:dyDescent="0.2">
      <c r="B523" s="24"/>
      <c r="C523" s="32" t="s">
        <v>349</v>
      </c>
      <c r="D523" s="34">
        <v>1.33</v>
      </c>
      <c r="E523" s="34">
        <v>3</v>
      </c>
      <c r="F523" s="26"/>
      <c r="G523" s="26"/>
      <c r="H523" s="26"/>
      <c r="I523" s="26"/>
      <c r="J523" s="26"/>
      <c r="K523" s="34">
        <f>Tabela467940[[#This Row],[Larg. (m)]]*Tabela467940[[#This Row],[Altura (m)]]</f>
        <v>3.99</v>
      </c>
    </row>
    <row r="524" spans="2:12" x14ac:dyDescent="0.2">
      <c r="B524" s="24"/>
      <c r="C524" s="32" t="s">
        <v>350</v>
      </c>
      <c r="D524" s="34">
        <v>2.0499999999999998</v>
      </c>
      <c r="E524" s="34">
        <v>3</v>
      </c>
      <c r="F524" s="26"/>
      <c r="G524" s="26"/>
      <c r="H524" s="26"/>
      <c r="I524" s="26"/>
      <c r="J524" s="26"/>
      <c r="K524" s="34">
        <f>Tabela467940[[#This Row],[Larg. (m)]]*Tabela467940[[#This Row],[Altura (m)]]</f>
        <v>6.1499999999999995</v>
      </c>
    </row>
    <row r="525" spans="2:12" x14ac:dyDescent="0.2">
      <c r="B525" s="24"/>
      <c r="C525" s="32" t="s">
        <v>351</v>
      </c>
      <c r="D525" s="34">
        <v>-1</v>
      </c>
      <c r="E525" s="34">
        <v>1.8</v>
      </c>
      <c r="F525" s="26"/>
      <c r="G525" s="26"/>
      <c r="H525" s="26"/>
      <c r="I525" s="26"/>
      <c r="J525" s="26"/>
      <c r="K525" s="34">
        <f>Tabela467940[[#This Row],[Larg. (m)]]*Tabela467940[[#This Row],[Altura (m)]]</f>
        <v>-1.8</v>
      </c>
    </row>
    <row r="526" spans="2:12" x14ac:dyDescent="0.2">
      <c r="B526" s="24"/>
      <c r="C526" s="32" t="s">
        <v>352</v>
      </c>
      <c r="D526" s="34">
        <v>2.5</v>
      </c>
      <c r="E526" s="34">
        <v>3</v>
      </c>
      <c r="F526" s="26"/>
      <c r="G526" s="26"/>
      <c r="H526" s="26"/>
      <c r="I526" s="26"/>
      <c r="J526" s="26"/>
      <c r="K526" s="34">
        <f>Tabela467940[[#This Row],[Larg. (m)]]*Tabela467940[[#This Row],[Altura (m)]]</f>
        <v>7.5</v>
      </c>
    </row>
    <row r="527" spans="2:12" x14ac:dyDescent="0.2">
      <c r="B527" s="46" t="s">
        <v>6</v>
      </c>
      <c r="C527" s="72"/>
      <c r="D527" s="47"/>
      <c r="E527" s="47"/>
      <c r="F527" s="47"/>
      <c r="G527" s="47"/>
      <c r="H527" s="47"/>
      <c r="I527" s="47"/>
      <c r="J527" s="47"/>
      <c r="K527" s="48">
        <f>SUBTOTAL(109,Tabela467940[Total])</f>
        <v>43.71</v>
      </c>
    </row>
    <row r="528" spans="2:12" x14ac:dyDescent="0.2">
      <c r="K528" s="28"/>
    </row>
    <row r="529" spans="2:12" x14ac:dyDescent="0.2">
      <c r="B529" s="29" t="s">
        <v>302</v>
      </c>
      <c r="C529" s="150" t="s">
        <v>303</v>
      </c>
      <c r="D529" s="150"/>
      <c r="E529" s="150"/>
      <c r="F529" s="150"/>
      <c r="G529" s="150"/>
      <c r="H529" s="150"/>
      <c r="I529" s="150"/>
      <c r="J529" s="29" t="s">
        <v>243</v>
      </c>
      <c r="K529" s="29" t="s">
        <v>304</v>
      </c>
    </row>
    <row r="530" spans="2:12" x14ac:dyDescent="0.2">
      <c r="B530" s="85" t="str">
        <f>MEDIÇÃO!A147</f>
        <v xml:space="preserve"> 9.4</v>
      </c>
      <c r="C530" s="151" t="str">
        <f>MEDIÇÃO!D147</f>
        <v>PERSIANAS ROLON, TIPO DOUBLE VISION, COR BRANCA - FORNECIMENTO E INSTALAÇÃO</v>
      </c>
      <c r="D530" s="151"/>
      <c r="E530" s="151"/>
      <c r="F530" s="151"/>
      <c r="G530" s="151"/>
      <c r="H530" s="151"/>
      <c r="I530" s="151"/>
      <c r="J530" s="85" t="str">
        <f>MEDIÇÃO!E147</f>
        <v>M²</v>
      </c>
      <c r="K530" s="86">
        <f>TRUNC(Tabela46793[[#Totals],[Total]],2)</f>
        <v>8.82</v>
      </c>
      <c r="L530" s="59" t="s">
        <v>465</v>
      </c>
    </row>
    <row r="531" spans="2:12" x14ac:dyDescent="0.2">
      <c r="B531" s="23" t="s">
        <v>0</v>
      </c>
      <c r="C531" s="69" t="s">
        <v>305</v>
      </c>
      <c r="D531" s="23" t="s">
        <v>5</v>
      </c>
      <c r="E531" s="23" t="s">
        <v>323</v>
      </c>
      <c r="F531" s="23" t="s">
        <v>324</v>
      </c>
      <c r="G531" s="23" t="s">
        <v>309</v>
      </c>
      <c r="H531" s="23" t="s">
        <v>310</v>
      </c>
      <c r="I531" s="23" t="s">
        <v>311</v>
      </c>
      <c r="J531" s="23" t="s">
        <v>312</v>
      </c>
      <c r="K531" s="23" t="s">
        <v>6</v>
      </c>
    </row>
    <row r="532" spans="2:12" x14ac:dyDescent="0.2">
      <c r="B532" s="24"/>
      <c r="C532" s="32" t="s">
        <v>394</v>
      </c>
      <c r="D532" s="26">
        <v>2</v>
      </c>
      <c r="E532" s="26">
        <v>1.4</v>
      </c>
      <c r="F532" s="26">
        <v>2.1</v>
      </c>
      <c r="G532" s="26"/>
      <c r="H532" s="26"/>
      <c r="I532" s="26"/>
      <c r="J532" s="26"/>
      <c r="K532" s="26">
        <f>Tabela46793[[#This Row],[Quant.]]*Tabela46793[[#This Row],[Larg. (m)]]*Tabela46793[[#This Row],[Altura (m)]]</f>
        <v>5.88</v>
      </c>
    </row>
    <row r="533" spans="2:12" x14ac:dyDescent="0.2">
      <c r="B533" s="24"/>
      <c r="C533" s="32" t="s">
        <v>395</v>
      </c>
      <c r="D533" s="26">
        <v>1</v>
      </c>
      <c r="E533" s="26">
        <v>1.4</v>
      </c>
      <c r="F533" s="26">
        <v>2.1</v>
      </c>
      <c r="G533" s="26"/>
      <c r="H533" s="26"/>
      <c r="I533" s="26"/>
      <c r="J533" s="26"/>
      <c r="K533" s="26">
        <f>Tabela46793[[#This Row],[Quant.]]*Tabela46793[[#This Row],[Larg. (m)]]*Tabela46793[[#This Row],[Altura (m)]]</f>
        <v>2.94</v>
      </c>
    </row>
    <row r="534" spans="2:12" x14ac:dyDescent="0.2">
      <c r="B534" s="27" t="s">
        <v>6</v>
      </c>
      <c r="K534" s="28">
        <f>SUBTOTAL(109,Tabela46793[Total])</f>
        <v>8.82</v>
      </c>
    </row>
    <row r="535" spans="2:12" x14ac:dyDescent="0.2">
      <c r="K535" s="28"/>
    </row>
    <row r="536" spans="2:12" x14ac:dyDescent="0.2">
      <c r="B536" s="29" t="s">
        <v>302</v>
      </c>
      <c r="C536" s="150" t="s">
        <v>303</v>
      </c>
      <c r="D536" s="150"/>
      <c r="E536" s="150"/>
      <c r="F536" s="150"/>
      <c r="G536" s="150"/>
      <c r="H536" s="150"/>
      <c r="I536" s="150"/>
      <c r="J536" s="29" t="s">
        <v>243</v>
      </c>
      <c r="K536" s="29" t="s">
        <v>304</v>
      </c>
    </row>
    <row r="537" spans="2:12" x14ac:dyDescent="0.2">
      <c r="B537" s="85" t="str">
        <f>MEDIÇÃO!A148</f>
        <v xml:space="preserve"> 9.5</v>
      </c>
      <c r="C537" s="151" t="str">
        <f>MEDIÇÃO!D148</f>
        <v>ARMÁRIO PLANEJADO DEPÓSITO</v>
      </c>
      <c r="D537" s="151"/>
      <c r="E537" s="151"/>
      <c r="F537" s="151"/>
      <c r="G537" s="151"/>
      <c r="H537" s="151"/>
      <c r="I537" s="151"/>
      <c r="J537" s="85" t="str">
        <f>MEDIÇÃO!E148</f>
        <v>UND</v>
      </c>
      <c r="K537" s="86">
        <f>TRUNC(Tabela4679312[[#Totals],[Total]],2)</f>
        <v>1</v>
      </c>
      <c r="L537" s="59" t="s">
        <v>465</v>
      </c>
    </row>
    <row r="538" spans="2:12" x14ac:dyDescent="0.2">
      <c r="B538" s="23" t="s">
        <v>0</v>
      </c>
      <c r="C538" s="69" t="s">
        <v>305</v>
      </c>
      <c r="D538" s="23" t="s">
        <v>5</v>
      </c>
      <c r="E538" s="23" t="s">
        <v>307</v>
      </c>
      <c r="F538" s="23" t="s">
        <v>308</v>
      </c>
      <c r="G538" s="23" t="s">
        <v>309</v>
      </c>
      <c r="H538" s="23" t="s">
        <v>310</v>
      </c>
      <c r="I538" s="23" t="s">
        <v>311</v>
      </c>
      <c r="J538" s="23" t="s">
        <v>312</v>
      </c>
      <c r="K538" s="23" t="s">
        <v>6</v>
      </c>
    </row>
    <row r="539" spans="2:12" x14ac:dyDescent="0.2">
      <c r="B539" s="24"/>
      <c r="C539" s="32" t="s">
        <v>617</v>
      </c>
      <c r="D539" s="145">
        <v>1</v>
      </c>
      <c r="E539" s="26"/>
      <c r="F539" s="26"/>
      <c r="G539" s="26"/>
      <c r="H539" s="26"/>
      <c r="I539" s="26"/>
      <c r="J539" s="26"/>
      <c r="K539" s="26">
        <f>Tabela4679312[[#This Row],[Quant.]]</f>
        <v>1</v>
      </c>
    </row>
    <row r="540" spans="2:12" x14ac:dyDescent="0.2">
      <c r="B540" s="27" t="s">
        <v>6</v>
      </c>
      <c r="K540" s="28">
        <f>SUBTOTAL(109,Tabela4679312[Total])</f>
        <v>1</v>
      </c>
    </row>
    <row r="542" spans="2:12" x14ac:dyDescent="0.2">
      <c r="B542" s="29" t="s">
        <v>302</v>
      </c>
      <c r="C542" s="150" t="s">
        <v>303</v>
      </c>
      <c r="D542" s="150"/>
      <c r="E542" s="150"/>
      <c r="F542" s="150"/>
      <c r="G542" s="150"/>
      <c r="H542" s="150"/>
      <c r="I542" s="150"/>
      <c r="J542" s="29" t="s">
        <v>243</v>
      </c>
      <c r="K542" s="29" t="s">
        <v>304</v>
      </c>
    </row>
    <row r="543" spans="2:12" x14ac:dyDescent="0.2">
      <c r="B543" s="85" t="str">
        <f>MEDIÇÃO!A149</f>
        <v xml:space="preserve"> 9.6</v>
      </c>
      <c r="C543" s="151" t="str">
        <f>MEDIÇÃO!D149</f>
        <v>COLETA E CARGA MANUAIS DE ENTULHO</v>
      </c>
      <c r="D543" s="151"/>
      <c r="E543" s="151"/>
      <c r="F543" s="151"/>
      <c r="G543" s="151"/>
      <c r="H543" s="151"/>
      <c r="I543" s="151"/>
      <c r="J543" s="85" t="str">
        <f>MEDIÇÃO!E149</f>
        <v>M³</v>
      </c>
      <c r="K543" s="86">
        <f>TRUNC(Tabela467910[[#Totals],[Total]],2)</f>
        <v>22.37</v>
      </c>
      <c r="L543" s="59" t="s">
        <v>465</v>
      </c>
    </row>
    <row r="544" spans="2:12" x14ac:dyDescent="0.2">
      <c r="B544" s="23" t="s">
        <v>0</v>
      </c>
      <c r="C544" s="69" t="s">
        <v>305</v>
      </c>
      <c r="D544" s="29" t="s">
        <v>318</v>
      </c>
      <c r="E544" s="29" t="s">
        <v>323</v>
      </c>
      <c r="F544" s="23" t="s">
        <v>324</v>
      </c>
      <c r="G544" s="23" t="s">
        <v>309</v>
      </c>
      <c r="H544" s="23" t="s">
        <v>310</v>
      </c>
      <c r="I544" s="23" t="s">
        <v>311</v>
      </c>
      <c r="J544" s="23" t="s">
        <v>312</v>
      </c>
      <c r="K544" s="23" t="s">
        <v>6</v>
      </c>
    </row>
    <row r="545" spans="2:12" x14ac:dyDescent="0.2">
      <c r="B545" s="24"/>
      <c r="C545" s="70" t="s">
        <v>317</v>
      </c>
      <c r="D545" s="30">
        <v>8.25</v>
      </c>
      <c r="E545" s="30">
        <v>6.33</v>
      </c>
      <c r="F545" s="26">
        <v>0.2</v>
      </c>
      <c r="G545" s="26"/>
      <c r="H545" s="26"/>
      <c r="I545" s="26"/>
      <c r="J545" s="26"/>
      <c r="K545" s="26">
        <f>D545*Tabela467910[[#This Row],[Larg. (m)]]*Tabela467910[[#This Row],[Altura (m)]]</f>
        <v>10.444500000000001</v>
      </c>
    </row>
    <row r="546" spans="2:12" x14ac:dyDescent="0.2">
      <c r="B546" s="24"/>
      <c r="C546" s="70" t="s">
        <v>326</v>
      </c>
      <c r="D546" s="30">
        <v>3.85</v>
      </c>
      <c r="E546" s="30">
        <v>3.5</v>
      </c>
      <c r="F546" s="26">
        <v>0.2</v>
      </c>
      <c r="G546" s="26"/>
      <c r="H546" s="26"/>
      <c r="I546" s="26"/>
      <c r="J546" s="26"/>
      <c r="K546" s="26">
        <f>D546*Tabela467910[[#This Row],[Larg. (m)]]*Tabela467910[[#This Row],[Altura (m)]]</f>
        <v>2.6950000000000003</v>
      </c>
    </row>
    <row r="547" spans="2:12" x14ac:dyDescent="0.2">
      <c r="B547" s="24"/>
      <c r="C547" s="70" t="s">
        <v>327</v>
      </c>
      <c r="D547" s="30">
        <v>2.52</v>
      </c>
      <c r="E547" s="30">
        <v>1.2</v>
      </c>
      <c r="F547" s="26">
        <v>0.2</v>
      </c>
      <c r="G547" s="26"/>
      <c r="H547" s="26"/>
      <c r="I547" s="26"/>
      <c r="J547" s="26"/>
      <c r="K547" s="26">
        <f>D547*Tabela467910[[#This Row],[Larg. (m)]]*Tabela467910[[#This Row],[Altura (m)]]</f>
        <v>0.6048</v>
      </c>
    </row>
    <row r="548" spans="2:12" x14ac:dyDescent="0.2">
      <c r="B548" s="24"/>
      <c r="C548" s="32" t="s">
        <v>456</v>
      </c>
      <c r="D548" s="44">
        <v>6.85</v>
      </c>
      <c r="E548" s="44">
        <v>3.9</v>
      </c>
      <c r="F548" s="26">
        <v>0.2</v>
      </c>
      <c r="G548" s="44"/>
      <c r="H548" s="44"/>
      <c r="I548" s="44"/>
      <c r="J548" s="44"/>
      <c r="K548" s="44">
        <f>D548*Tabela467910[[#This Row],[Larg. (m)]]*Tabela467910[[#This Row],[Altura (m)]]</f>
        <v>5.343</v>
      </c>
    </row>
    <row r="549" spans="2:12" x14ac:dyDescent="0.2">
      <c r="B549" s="24"/>
      <c r="C549" s="32" t="s">
        <v>457</v>
      </c>
      <c r="D549" s="44">
        <v>1.35</v>
      </c>
      <c r="E549" s="44">
        <v>1.3</v>
      </c>
      <c r="F549" s="26">
        <v>0.2</v>
      </c>
      <c r="G549" s="44"/>
      <c r="H549" s="44"/>
      <c r="I549" s="44"/>
      <c r="J549" s="44"/>
      <c r="K549" s="44">
        <f>D549*Tabela467910[[#This Row],[Larg. (m)]]*Tabela467910[[#This Row],[Altura (m)]]</f>
        <v>0.35100000000000003</v>
      </c>
    </row>
    <row r="550" spans="2:12" x14ac:dyDescent="0.2">
      <c r="B550" s="24"/>
      <c r="C550" s="32" t="s">
        <v>438</v>
      </c>
      <c r="D550" s="44">
        <v>3.5</v>
      </c>
      <c r="E550" s="44">
        <v>4.2</v>
      </c>
      <c r="F550" s="26">
        <v>0.2</v>
      </c>
      <c r="G550" s="44"/>
      <c r="H550" s="44"/>
      <c r="I550" s="44"/>
      <c r="J550" s="44"/>
      <c r="K550" s="44">
        <f>D550*Tabela467910[[#This Row],[Larg. (m)]]*Tabela467910[[#This Row],[Altura (m)]]</f>
        <v>2.9400000000000004</v>
      </c>
    </row>
    <row r="551" spans="2:12" x14ac:dyDescent="0.2">
      <c r="B551" s="46" t="s">
        <v>6</v>
      </c>
      <c r="C551" s="72"/>
      <c r="D551" s="47"/>
      <c r="E551" s="47"/>
      <c r="F551" s="47"/>
      <c r="G551" s="47"/>
      <c r="H551" s="47"/>
      <c r="I551" s="47"/>
      <c r="J551" s="47"/>
      <c r="K551" s="48">
        <f>SUBTOTAL(109,Tabela467910[Total])</f>
        <v>22.378300000000003</v>
      </c>
    </row>
    <row r="553" spans="2:12" x14ac:dyDescent="0.2">
      <c r="B553" s="29" t="s">
        <v>302</v>
      </c>
      <c r="C553" s="150" t="s">
        <v>303</v>
      </c>
      <c r="D553" s="150"/>
      <c r="E553" s="150"/>
      <c r="F553" s="150"/>
      <c r="G553" s="150"/>
      <c r="H553" s="150"/>
      <c r="I553" s="150"/>
      <c r="J553" s="29" t="s">
        <v>243</v>
      </c>
      <c r="K553" s="29" t="s">
        <v>304</v>
      </c>
    </row>
    <row r="554" spans="2:12" x14ac:dyDescent="0.2">
      <c r="B554" s="85" t="str">
        <f>MEDIÇÃO!A150</f>
        <v xml:space="preserve"> 9.7</v>
      </c>
      <c r="C554" s="151" t="str">
        <f>MEDIÇÃO!D150</f>
        <v>LOCAÇÃO DE CAIXA COLETORA DE ENTULHO CAPACIDADE 5M³ (LOCAL: MANAUS), PRAZO MÁXIMO DE 7 DIAS</v>
      </c>
      <c r="D554" s="151"/>
      <c r="E554" s="151"/>
      <c r="F554" s="151"/>
      <c r="G554" s="151"/>
      <c r="H554" s="151"/>
      <c r="I554" s="151"/>
      <c r="J554" s="85" t="str">
        <f>MEDIÇÃO!E150</f>
        <v>UND</v>
      </c>
      <c r="K554" s="86">
        <f>TRUNC(Tabela46791011[[#Totals],[Total]],2)</f>
        <v>5</v>
      </c>
      <c r="L554" s="59" t="s">
        <v>465</v>
      </c>
    </row>
    <row r="555" spans="2:12" x14ac:dyDescent="0.2">
      <c r="B555" s="23" t="s">
        <v>0</v>
      </c>
      <c r="C555" s="69" t="s">
        <v>305</v>
      </c>
      <c r="D555" s="29" t="s">
        <v>5</v>
      </c>
      <c r="E555" s="29" t="s">
        <v>307</v>
      </c>
      <c r="F555" s="23" t="s">
        <v>308</v>
      </c>
      <c r="G555" s="23" t="s">
        <v>309</v>
      </c>
      <c r="H555" s="23" t="s">
        <v>310</v>
      </c>
      <c r="I555" s="23" t="s">
        <v>311</v>
      </c>
      <c r="J555" s="23" t="s">
        <v>312</v>
      </c>
      <c r="K555" s="23" t="s">
        <v>6</v>
      </c>
    </row>
    <row r="556" spans="2:12" x14ac:dyDescent="0.2">
      <c r="B556" s="24"/>
      <c r="C556" s="70" t="s">
        <v>442</v>
      </c>
      <c r="D556" s="30">
        <v>5</v>
      </c>
      <c r="E556" s="30"/>
      <c r="F556" s="26"/>
      <c r="G556" s="26"/>
      <c r="H556" s="26"/>
      <c r="I556" s="26"/>
      <c r="J556" s="26"/>
      <c r="K556" s="26">
        <f>Tabela46791011[[#This Row],[Quant.]]</f>
        <v>5</v>
      </c>
    </row>
    <row r="557" spans="2:12" x14ac:dyDescent="0.2">
      <c r="B557" s="27" t="s">
        <v>6</v>
      </c>
      <c r="K557" s="28">
        <f>SUBTOTAL(109,Tabela46791011[Total])</f>
        <v>5</v>
      </c>
    </row>
    <row r="559" spans="2:12" x14ac:dyDescent="0.2">
      <c r="B559" s="29" t="s">
        <v>302</v>
      </c>
      <c r="C559" s="150" t="s">
        <v>303</v>
      </c>
      <c r="D559" s="150"/>
      <c r="E559" s="150"/>
      <c r="F559" s="150"/>
      <c r="G559" s="150"/>
      <c r="H559" s="150"/>
      <c r="I559" s="150"/>
      <c r="J559" s="29" t="s">
        <v>243</v>
      </c>
      <c r="K559" s="29" t="s">
        <v>304</v>
      </c>
    </row>
    <row r="560" spans="2:12" x14ac:dyDescent="0.2">
      <c r="B560" s="85" t="str">
        <f>MEDIÇÃO!A151</f>
        <v xml:space="preserve"> 9.8</v>
      </c>
      <c r="C560" s="151" t="str">
        <f>MEDIÇÃO!D151</f>
        <v>LIMPEZA GERAL</v>
      </c>
      <c r="D560" s="151"/>
      <c r="E560" s="151"/>
      <c r="F560" s="151"/>
      <c r="G560" s="151"/>
      <c r="H560" s="151"/>
      <c r="I560" s="151"/>
      <c r="J560" s="85" t="str">
        <f>MEDIÇÃO!E151</f>
        <v>M²</v>
      </c>
      <c r="K560" s="86">
        <f>TRUNC(Tabela4679101112[[#Totals],[Total]],2)</f>
        <v>0</v>
      </c>
      <c r="L560" s="59" t="s">
        <v>465</v>
      </c>
    </row>
    <row r="561" spans="2:11" x14ac:dyDescent="0.2">
      <c r="B561" s="23" t="s">
        <v>0</v>
      </c>
      <c r="C561" s="69" t="s">
        <v>305</v>
      </c>
      <c r="D561" s="29" t="s">
        <v>318</v>
      </c>
      <c r="E561" s="29" t="s">
        <v>323</v>
      </c>
      <c r="F561" s="23" t="s">
        <v>308</v>
      </c>
      <c r="G561" s="23" t="s">
        <v>309</v>
      </c>
      <c r="H561" s="23" t="s">
        <v>310</v>
      </c>
      <c r="I561" s="23" t="s">
        <v>311</v>
      </c>
      <c r="J561" s="23" t="s">
        <v>312</v>
      </c>
      <c r="K561" s="23" t="s">
        <v>6</v>
      </c>
    </row>
    <row r="562" spans="2:11" x14ac:dyDescent="0.2">
      <c r="B562" s="24"/>
      <c r="C562" s="70" t="s">
        <v>317</v>
      </c>
      <c r="D562" s="144">
        <v>0</v>
      </c>
      <c r="E562" s="144">
        <v>0</v>
      </c>
      <c r="F562" s="26"/>
      <c r="G562" s="26"/>
      <c r="H562" s="26"/>
      <c r="I562" s="26"/>
      <c r="J562" s="26"/>
      <c r="K562" s="26">
        <f>Tabela4679101112[[#This Row],[Comp. (m)]]*Tabela4679101112[[#This Row],[Larg. (m)]]</f>
        <v>0</v>
      </c>
    </row>
    <row r="563" spans="2:11" x14ac:dyDescent="0.2">
      <c r="B563" s="24"/>
      <c r="C563" s="70" t="s">
        <v>326</v>
      </c>
      <c r="D563" s="144">
        <v>0</v>
      </c>
      <c r="E563" s="144">
        <v>0</v>
      </c>
      <c r="F563" s="26"/>
      <c r="G563" s="26"/>
      <c r="H563" s="26"/>
      <c r="I563" s="26"/>
      <c r="J563" s="26"/>
      <c r="K563" s="26">
        <f>Tabela4679101112[[#This Row],[Comp. (m)]]*Tabela4679101112[[#This Row],[Larg. (m)]]</f>
        <v>0</v>
      </c>
    </row>
    <row r="564" spans="2:11" x14ac:dyDescent="0.2">
      <c r="B564" s="24"/>
      <c r="C564" s="70" t="s">
        <v>327</v>
      </c>
      <c r="D564" s="144">
        <v>0</v>
      </c>
      <c r="E564" s="144">
        <v>0</v>
      </c>
      <c r="F564" s="26"/>
      <c r="G564" s="26"/>
      <c r="H564" s="26"/>
      <c r="I564" s="26"/>
      <c r="J564" s="26"/>
      <c r="K564" s="26">
        <f>Tabela4679101112[[#This Row],[Comp. (m)]]*Tabela4679101112[[#This Row],[Larg. (m)]]</f>
        <v>0</v>
      </c>
    </row>
    <row r="565" spans="2:11" x14ac:dyDescent="0.2">
      <c r="B565" s="24"/>
      <c r="C565" s="32" t="s">
        <v>456</v>
      </c>
      <c r="D565" s="140">
        <v>0</v>
      </c>
      <c r="E565" s="140">
        <v>0</v>
      </c>
      <c r="F565" s="44"/>
      <c r="G565" s="44"/>
      <c r="H565" s="44"/>
      <c r="I565" s="44"/>
      <c r="J565" s="44"/>
      <c r="K565" s="44">
        <f>Tabela4679101112[[#This Row],[Comp. (m)]]*Tabela4679101112[[#This Row],[Larg. (m)]]</f>
        <v>0</v>
      </c>
    </row>
    <row r="566" spans="2:11" x14ac:dyDescent="0.2">
      <c r="B566" s="24"/>
      <c r="C566" s="32" t="s">
        <v>457</v>
      </c>
      <c r="D566" s="140">
        <v>0</v>
      </c>
      <c r="E566" s="140">
        <v>0</v>
      </c>
      <c r="F566" s="44"/>
      <c r="G566" s="44"/>
      <c r="H566" s="44"/>
      <c r="I566" s="44"/>
      <c r="J566" s="44"/>
      <c r="K566" s="44">
        <f>Tabela4679101112[[#This Row],[Comp. (m)]]*Tabela4679101112[[#This Row],[Larg. (m)]]</f>
        <v>0</v>
      </c>
    </row>
    <row r="567" spans="2:11" x14ac:dyDescent="0.2">
      <c r="B567" s="24"/>
      <c r="C567" s="32" t="s">
        <v>438</v>
      </c>
      <c r="D567" s="140">
        <v>0</v>
      </c>
      <c r="E567" s="140">
        <v>0</v>
      </c>
      <c r="F567" s="44"/>
      <c r="G567" s="44"/>
      <c r="H567" s="44"/>
      <c r="I567" s="44"/>
      <c r="J567" s="44"/>
      <c r="K567" s="44">
        <f>Tabela4679101112[[#This Row],[Comp. (m)]]*Tabela4679101112[[#This Row],[Larg. (m)]]</f>
        <v>0</v>
      </c>
    </row>
    <row r="568" spans="2:11" x14ac:dyDescent="0.2">
      <c r="B568" s="46" t="s">
        <v>6</v>
      </c>
      <c r="C568" s="72"/>
      <c r="D568" s="47"/>
      <c r="E568" s="47"/>
      <c r="F568" s="47"/>
      <c r="G568" s="47"/>
      <c r="H568" s="47"/>
      <c r="I568" s="47"/>
      <c r="J568" s="47"/>
      <c r="K568" s="48">
        <f>SUBTOTAL(109,Tabela4679101112[Total])</f>
        <v>0</v>
      </c>
    </row>
    <row r="569" spans="2:11" x14ac:dyDescent="0.2">
      <c r="K569" s="28"/>
    </row>
    <row r="570" spans="2:11" x14ac:dyDescent="0.2">
      <c r="K570" s="28"/>
    </row>
    <row r="571" spans="2:11" x14ac:dyDescent="0.2">
      <c r="K571" s="28"/>
    </row>
  </sheetData>
  <mergeCells count="125">
    <mergeCell ref="C47:I47"/>
    <mergeCell ref="C28:I28"/>
    <mergeCell ref="C29:I29"/>
    <mergeCell ref="C150:I150"/>
    <mergeCell ref="C20:I20"/>
    <mergeCell ref="C3:I3"/>
    <mergeCell ref="C4:I4"/>
    <mergeCell ref="B8:K8"/>
    <mergeCell ref="C13:I13"/>
    <mergeCell ref="C14:I14"/>
    <mergeCell ref="C19:I19"/>
    <mergeCell ref="C48:I48"/>
    <mergeCell ref="C85:I85"/>
    <mergeCell ref="C86:I86"/>
    <mergeCell ref="C91:I91"/>
    <mergeCell ref="C92:I92"/>
    <mergeCell ref="C108:I108"/>
    <mergeCell ref="C81:I81"/>
    <mergeCell ref="C114:I114"/>
    <mergeCell ref="C115:I115"/>
    <mergeCell ref="C37:I37"/>
    <mergeCell ref="C38:I38"/>
    <mergeCell ref="C127:I127"/>
    <mergeCell ref="C128:I128"/>
    <mergeCell ref="C151:I151"/>
    <mergeCell ref="C58:I58"/>
    <mergeCell ref="C59:I59"/>
    <mergeCell ref="C201:I201"/>
    <mergeCell ref="C74:I74"/>
    <mergeCell ref="C75:I75"/>
    <mergeCell ref="C109:I109"/>
    <mergeCell ref="C80:I80"/>
    <mergeCell ref="C185:I185"/>
    <mergeCell ref="C156:I156"/>
    <mergeCell ref="C157:I157"/>
    <mergeCell ref="C190:I190"/>
    <mergeCell ref="C163:I163"/>
    <mergeCell ref="C164:I164"/>
    <mergeCell ref="C173:I173"/>
    <mergeCell ref="C174:I174"/>
    <mergeCell ref="C64:I64"/>
    <mergeCell ref="C65:I65"/>
    <mergeCell ref="C120:I120"/>
    <mergeCell ref="C121:I121"/>
    <mergeCell ref="C133:I133"/>
    <mergeCell ref="C134:I134"/>
    <mergeCell ref="C139:I139"/>
    <mergeCell ref="C140:I140"/>
    <mergeCell ref="C207:I207"/>
    <mergeCell ref="C208:I208"/>
    <mergeCell ref="C184:I184"/>
    <mergeCell ref="C342:I342"/>
    <mergeCell ref="C343:I343"/>
    <mergeCell ref="C307:I307"/>
    <mergeCell ref="C308:I308"/>
    <mergeCell ref="C231:I231"/>
    <mergeCell ref="C232:I232"/>
    <mergeCell ref="C238:I238"/>
    <mergeCell ref="C253:I253"/>
    <mergeCell ref="C254:I254"/>
    <mergeCell ref="C275:I275"/>
    <mergeCell ref="C283:I283"/>
    <mergeCell ref="C239:I239"/>
    <mergeCell ref="C294:I294"/>
    <mergeCell ref="C295:I295"/>
    <mergeCell ref="C191:I191"/>
    <mergeCell ref="C202:I202"/>
    <mergeCell ref="C284:I284"/>
    <mergeCell ref="C274:I274"/>
    <mergeCell ref="C315:I315"/>
    <mergeCell ref="C316:I316"/>
    <mergeCell ref="C332:I332"/>
    <mergeCell ref="C554:I554"/>
    <mergeCell ref="C559:I559"/>
    <mergeCell ref="C560:I560"/>
    <mergeCell ref="C483:I483"/>
    <mergeCell ref="C491:I491"/>
    <mergeCell ref="C492:I492"/>
    <mergeCell ref="C529:I529"/>
    <mergeCell ref="C530:I530"/>
    <mergeCell ref="C542:I542"/>
    <mergeCell ref="C515:I515"/>
    <mergeCell ref="C516:I516"/>
    <mergeCell ref="C509:I509"/>
    <mergeCell ref="C510:I510"/>
    <mergeCell ref="C500:I500"/>
    <mergeCell ref="C501:I501"/>
    <mergeCell ref="C536:I536"/>
    <mergeCell ref="C537:I537"/>
    <mergeCell ref="C543:I543"/>
    <mergeCell ref="C553:I553"/>
    <mergeCell ref="C351:I351"/>
    <mergeCell ref="C352:I352"/>
    <mergeCell ref="C323:I323"/>
    <mergeCell ref="C324:I324"/>
    <mergeCell ref="C331:I331"/>
    <mergeCell ref="C357:I357"/>
    <mergeCell ref="C377:I377"/>
    <mergeCell ref="C378:I378"/>
    <mergeCell ref="C385:I385"/>
    <mergeCell ref="C371:I371"/>
    <mergeCell ref="C372:I372"/>
    <mergeCell ref="C365:I365"/>
    <mergeCell ref="C358:I358"/>
    <mergeCell ref="C364:I364"/>
    <mergeCell ref="C482:I482"/>
    <mergeCell ref="C460:I460"/>
    <mergeCell ref="C386:I386"/>
    <mergeCell ref="C391:I391"/>
    <mergeCell ref="C392:I392"/>
    <mergeCell ref="C397:I397"/>
    <mergeCell ref="C398:I398"/>
    <mergeCell ref="C470:I470"/>
    <mergeCell ref="C471:I471"/>
    <mergeCell ref="C476:I476"/>
    <mergeCell ref="C459:I459"/>
    <mergeCell ref="C403:I403"/>
    <mergeCell ref="C404:I404"/>
    <mergeCell ref="C423:I423"/>
    <mergeCell ref="C424:I424"/>
    <mergeCell ref="C477:I477"/>
    <mergeCell ref="C430:I430"/>
    <mergeCell ref="C431:I431"/>
    <mergeCell ref="C412:I412"/>
    <mergeCell ref="C413:I413"/>
  </mergeCells>
  <phoneticPr fontId="16" type="noConversion"/>
  <printOptions horizontalCentered="1"/>
  <pageMargins left="0.78740157480314965" right="0.59055118110236227" top="0.78740157480314965" bottom="0.78740157480314965" header="0.31496062992125984" footer="0.51181102362204722"/>
  <pageSetup paperSize="9" scale="80" orientation="portrait" r:id="rId1"/>
  <headerFooter>
    <oddFooter>&amp;RPágina: &amp;P / &amp;N</oddFooter>
  </headerFooter>
  <ignoredErrors>
    <ignoredError sqref="K426" calculatedColumn="1"/>
  </ignoredErrors>
  <drawing r:id="rId2"/>
  <tableParts count="6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3"/>
  <sheetViews>
    <sheetView topLeftCell="A137" zoomScale="90" zoomScaleNormal="90" workbookViewId="0">
      <selection activeCell="C47" sqref="C47"/>
    </sheetView>
  </sheetViews>
  <sheetFormatPr defaultRowHeight="12" x14ac:dyDescent="0.2"/>
  <cols>
    <col min="1" max="1" width="3.25" style="20" customWidth="1"/>
    <col min="2" max="2" width="6.375" style="27" customWidth="1"/>
    <col min="3" max="3" width="31.5" style="20" customWidth="1"/>
    <col min="4" max="4" width="10.625" style="20" bestFit="1" customWidth="1"/>
    <col min="5" max="5" width="10.25" style="20" bestFit="1" customWidth="1"/>
    <col min="6" max="6" width="9.75" style="20" customWidth="1"/>
    <col min="7" max="7" width="9" style="20" bestFit="1" customWidth="1"/>
    <col min="8" max="8" width="10" style="20" bestFit="1" customWidth="1"/>
    <col min="9" max="9" width="8" style="20" customWidth="1"/>
    <col min="10" max="10" width="7.25" style="20" customWidth="1"/>
    <col min="11" max="16384" width="9" style="20"/>
  </cols>
  <sheetData>
    <row r="1" spans="2:11" s="18" customFormat="1" ht="15.75" x14ac:dyDescent="0.25">
      <c r="B1" s="14">
        <v>0</v>
      </c>
      <c r="C1" s="15" t="s">
        <v>301</v>
      </c>
      <c r="D1" s="16"/>
      <c r="E1" s="16"/>
      <c r="F1" s="16"/>
      <c r="G1" s="16"/>
      <c r="H1" s="16"/>
      <c r="I1" s="16"/>
      <c r="J1" s="16"/>
      <c r="K1" s="17"/>
    </row>
    <row r="3" spans="2:11" ht="15" x14ac:dyDescent="0.25">
      <c r="B3" s="19" t="s">
        <v>302</v>
      </c>
      <c r="C3" s="155" t="s">
        <v>303</v>
      </c>
      <c r="D3" s="155"/>
      <c r="E3" s="155"/>
      <c r="F3" s="155"/>
      <c r="G3" s="155"/>
      <c r="H3" s="155"/>
      <c r="I3" s="155"/>
      <c r="J3" s="19" t="s">
        <v>243</v>
      </c>
      <c r="K3" s="19" t="s">
        <v>304</v>
      </c>
    </row>
    <row r="4" spans="2:11" ht="15" x14ac:dyDescent="0.2">
      <c r="B4" s="21"/>
      <c r="C4" s="156"/>
      <c r="D4" s="156"/>
      <c r="E4" s="156"/>
      <c r="F4" s="156"/>
      <c r="G4" s="156"/>
      <c r="H4" s="156"/>
      <c r="I4" s="156"/>
      <c r="J4" s="21"/>
      <c r="K4" s="22">
        <f>Tabela467927[[#Totals],[Total]]</f>
        <v>0</v>
      </c>
    </row>
    <row r="5" spans="2:11" x14ac:dyDescent="0.2">
      <c r="B5" s="23" t="s">
        <v>0</v>
      </c>
      <c r="C5" s="23" t="s">
        <v>305</v>
      </c>
      <c r="D5" s="23" t="s">
        <v>306</v>
      </c>
      <c r="E5" s="23" t="s">
        <v>307</v>
      </c>
      <c r="F5" s="23" t="s">
        <v>308</v>
      </c>
      <c r="G5" s="23" t="s">
        <v>309</v>
      </c>
      <c r="H5" s="23" t="s">
        <v>310</v>
      </c>
      <c r="I5" s="23" t="s">
        <v>311</v>
      </c>
      <c r="J5" s="23" t="s">
        <v>312</v>
      </c>
      <c r="K5" s="23" t="s">
        <v>6</v>
      </c>
    </row>
    <row r="6" spans="2:11" x14ac:dyDescent="0.2">
      <c r="B6" s="24"/>
      <c r="C6" s="25"/>
      <c r="D6" s="26"/>
      <c r="E6" s="26"/>
      <c r="F6" s="26"/>
      <c r="G6" s="26"/>
      <c r="H6" s="26"/>
      <c r="I6" s="26"/>
      <c r="J6" s="26"/>
      <c r="K6" s="26">
        <f>D6</f>
        <v>0</v>
      </c>
    </row>
    <row r="7" spans="2:11" x14ac:dyDescent="0.2">
      <c r="B7" s="27" t="s">
        <v>6</v>
      </c>
      <c r="K7" s="28">
        <f>SUBTOTAL(109,Tabela467927[Total])</f>
        <v>0</v>
      </c>
    </row>
    <row r="8" spans="2:11" ht="18.75" x14ac:dyDescent="0.3">
      <c r="B8" s="157" t="s">
        <v>564</v>
      </c>
      <c r="C8" s="157"/>
      <c r="D8" s="157"/>
      <c r="E8" s="157"/>
      <c r="F8" s="157"/>
      <c r="G8" s="157"/>
      <c r="H8" s="157"/>
      <c r="I8" s="157"/>
      <c r="J8" s="157"/>
      <c r="K8" s="157"/>
    </row>
    <row r="9" spans="2:11" x14ac:dyDescent="0.2">
      <c r="K9" s="28"/>
    </row>
    <row r="10" spans="2:11" s="18" customFormat="1" ht="15.75" x14ac:dyDescent="0.25">
      <c r="B10" s="38" t="str">
        <f>MEDIÇÃO!A11</f>
        <v xml:space="preserve"> 1 </v>
      </c>
      <c r="C10" s="39" t="str">
        <f>MEDIÇÃO!D11</f>
        <v>ADMINISTRAÇÃO LOCAL</v>
      </c>
      <c r="D10" s="40"/>
      <c r="E10" s="40"/>
      <c r="F10" s="40"/>
      <c r="G10" s="40"/>
      <c r="H10" s="40"/>
      <c r="I10" s="40"/>
      <c r="J10" s="40"/>
      <c r="K10" s="41"/>
    </row>
    <row r="12" spans="2:11" ht="15" x14ac:dyDescent="0.25">
      <c r="B12" s="19" t="s">
        <v>302</v>
      </c>
      <c r="C12" s="155" t="s">
        <v>303</v>
      </c>
      <c r="D12" s="155"/>
      <c r="E12" s="155"/>
      <c r="F12" s="155"/>
      <c r="G12" s="155"/>
      <c r="H12" s="155"/>
      <c r="I12" s="155"/>
      <c r="J12" s="19" t="s">
        <v>243</v>
      </c>
      <c r="K12" s="19" t="s">
        <v>304</v>
      </c>
    </row>
    <row r="13" spans="2:11" ht="15" x14ac:dyDescent="0.25">
      <c r="B13" s="35" t="str">
        <f>MEDIÇÃO!A12</f>
        <v xml:space="preserve"> 1.1 </v>
      </c>
      <c r="C13" s="159" t="str">
        <f>MEDIÇÃO!D12</f>
        <v>ENCARREGADO GERAL COM ENCARGOS COMPLEMENTARES</v>
      </c>
      <c r="D13" s="159"/>
      <c r="E13" s="159"/>
      <c r="F13" s="159"/>
      <c r="G13" s="159"/>
      <c r="H13" s="159"/>
      <c r="I13" s="159"/>
      <c r="J13" s="37" t="str">
        <f>MEDIÇÃO!E12</f>
        <v>H</v>
      </c>
      <c r="K13" s="136">
        <f>TRUNC(Tabela467815[[#Totals],[Total]],2)</f>
        <v>52.8</v>
      </c>
    </row>
    <row r="14" spans="2:11" x14ac:dyDescent="0.2">
      <c r="B14" s="29" t="s">
        <v>0</v>
      </c>
      <c r="C14" s="29" t="s">
        <v>305</v>
      </c>
      <c r="D14" s="29" t="s">
        <v>313</v>
      </c>
      <c r="E14" s="29" t="s">
        <v>314</v>
      </c>
      <c r="F14" s="29" t="s">
        <v>315</v>
      </c>
      <c r="G14" s="29" t="s">
        <v>309</v>
      </c>
      <c r="H14" s="29" t="s">
        <v>310</v>
      </c>
      <c r="I14" s="29" t="s">
        <v>311</v>
      </c>
      <c r="J14" s="29" t="s">
        <v>312</v>
      </c>
      <c r="K14" s="29" t="s">
        <v>6</v>
      </c>
    </row>
    <row r="15" spans="2:11" x14ac:dyDescent="0.2">
      <c r="C15" s="20" t="s">
        <v>316</v>
      </c>
      <c r="D15" s="30">
        <v>8.8000000000000007</v>
      </c>
      <c r="E15" s="30">
        <v>6</v>
      </c>
      <c r="F15" s="30">
        <v>1</v>
      </c>
      <c r="G15" s="30"/>
      <c r="H15" s="30"/>
      <c r="I15" s="30"/>
      <c r="J15" s="30"/>
      <c r="K15" s="30">
        <f>D15*Tabela467815[[#This Row],[dias/mês]]*Tabela467815[[#This Row],[meses]]</f>
        <v>52.800000000000004</v>
      </c>
    </row>
    <row r="16" spans="2:11" x14ac:dyDescent="0.2">
      <c r="B16" s="27" t="s">
        <v>6</v>
      </c>
      <c r="K16" s="28">
        <f>SUBTOTAL(109,Tabela467815[Total])</f>
        <v>52.800000000000004</v>
      </c>
    </row>
    <row r="18" spans="2:11" ht="15" x14ac:dyDescent="0.25">
      <c r="B18" s="19" t="s">
        <v>302</v>
      </c>
      <c r="C18" s="155" t="s">
        <v>303</v>
      </c>
      <c r="D18" s="155"/>
      <c r="E18" s="155"/>
      <c r="F18" s="155"/>
      <c r="G18" s="155"/>
      <c r="H18" s="155"/>
      <c r="I18" s="155"/>
      <c r="J18" s="19" t="s">
        <v>243</v>
      </c>
      <c r="K18" s="19" t="s">
        <v>304</v>
      </c>
    </row>
    <row r="19" spans="2:11" ht="15" x14ac:dyDescent="0.25">
      <c r="B19" s="35" t="str">
        <f>MEDIÇÃO!A13</f>
        <v xml:space="preserve"> 1.2 </v>
      </c>
      <c r="C19" s="159" t="str">
        <f>MEDIÇÃO!D13</f>
        <v>ENGENHEIRO CIVIL DE OBRA JUNIOR COM ENCARGOS
COMPLEMENTARES</v>
      </c>
      <c r="D19" s="159"/>
      <c r="E19" s="159"/>
      <c r="F19" s="159"/>
      <c r="G19" s="159"/>
      <c r="H19" s="159"/>
      <c r="I19" s="159"/>
      <c r="J19" s="37" t="str">
        <f>MEDIÇÃO!E13</f>
        <v>H</v>
      </c>
      <c r="K19" s="136">
        <f>TRUNC(Tabela46714[[#Totals],[Total]],2)</f>
        <v>12</v>
      </c>
    </row>
    <row r="20" spans="2:11" x14ac:dyDescent="0.2">
      <c r="B20" s="29" t="s">
        <v>0</v>
      </c>
      <c r="C20" s="29" t="s">
        <v>305</v>
      </c>
      <c r="D20" s="29" t="s">
        <v>313</v>
      </c>
      <c r="E20" s="29" t="s">
        <v>314</v>
      </c>
      <c r="F20" s="29" t="s">
        <v>315</v>
      </c>
      <c r="G20" s="29" t="s">
        <v>309</v>
      </c>
      <c r="H20" s="29" t="s">
        <v>310</v>
      </c>
      <c r="I20" s="29" t="s">
        <v>311</v>
      </c>
      <c r="J20" s="29" t="s">
        <v>312</v>
      </c>
      <c r="K20" s="29" t="s">
        <v>6</v>
      </c>
    </row>
    <row r="21" spans="2:11" x14ac:dyDescent="0.2">
      <c r="B21" s="24"/>
      <c r="C21" s="20" t="s">
        <v>316</v>
      </c>
      <c r="D21" s="31">
        <v>2</v>
      </c>
      <c r="E21" s="31">
        <v>6</v>
      </c>
      <c r="F21" s="31">
        <v>1</v>
      </c>
      <c r="G21" s="31"/>
      <c r="H21" s="31"/>
      <c r="I21" s="31"/>
      <c r="J21" s="31"/>
      <c r="K21" s="31">
        <f>Tabela46714[[#This Row],[horas/dia]]*Tabela46714[[#This Row],[dias/mês]]*Tabela46714[[#This Row],[meses]]</f>
        <v>12</v>
      </c>
    </row>
    <row r="22" spans="2:11" x14ac:dyDescent="0.2">
      <c r="B22" s="27" t="s">
        <v>6</v>
      </c>
      <c r="K22" s="28">
        <f>SUBTOTAL(109,Tabela46714[Total])</f>
        <v>12</v>
      </c>
    </row>
    <row r="23" spans="2:11" x14ac:dyDescent="0.2">
      <c r="K23" s="28"/>
    </row>
    <row r="24" spans="2:11" x14ac:dyDescent="0.2">
      <c r="K24" s="28"/>
    </row>
    <row r="25" spans="2:11" s="18" customFormat="1" ht="15.75" x14ac:dyDescent="0.25">
      <c r="B25" s="38" t="str">
        <f>MEDIÇÃO!A17</f>
        <v xml:space="preserve"> 3 </v>
      </c>
      <c r="C25" s="39" t="str">
        <f>MEDIÇÃO!D17</f>
        <v>PAREDES, PAINÉIS, DEMOLIÇÕES E ESQUADRIAS</v>
      </c>
      <c r="D25" s="40"/>
      <c r="E25" s="40"/>
      <c r="F25" s="40"/>
      <c r="G25" s="40"/>
      <c r="H25" s="40"/>
      <c r="I25" s="40"/>
      <c r="J25" s="40"/>
      <c r="K25" s="41"/>
    </row>
    <row r="26" spans="2:11" x14ac:dyDescent="0.2">
      <c r="K26" s="28"/>
    </row>
    <row r="27" spans="2:11" ht="15" x14ac:dyDescent="0.25">
      <c r="B27" s="19" t="s">
        <v>302</v>
      </c>
      <c r="C27" s="155" t="s">
        <v>303</v>
      </c>
      <c r="D27" s="155"/>
      <c r="E27" s="155"/>
      <c r="F27" s="155"/>
      <c r="G27" s="155"/>
      <c r="H27" s="155"/>
      <c r="I27" s="155"/>
      <c r="J27" s="19" t="s">
        <v>243</v>
      </c>
      <c r="K27" s="19" t="s">
        <v>304</v>
      </c>
    </row>
    <row r="28" spans="2:11" ht="15" x14ac:dyDescent="0.2">
      <c r="B28" s="35" t="str">
        <f>MEDIÇÃO!A22</f>
        <v xml:space="preserve"> 3.5 </v>
      </c>
      <c r="C28" s="158" t="str">
        <f>MEDIÇÃO!D22</f>
        <v>REMOÇÃO DE INTERRUPTORES/TOMADAS ELÉTRICAS, DE FORMA MANUAL, SEM REAPROVEITAMENTO. AF  12/2017</v>
      </c>
      <c r="D28" s="158"/>
      <c r="E28" s="158"/>
      <c r="F28" s="158"/>
      <c r="G28" s="158"/>
      <c r="H28" s="158"/>
      <c r="I28" s="158"/>
      <c r="J28" s="35" t="str">
        <f>MEDIÇÃO!E22</f>
        <v>UN</v>
      </c>
      <c r="K28" s="36">
        <f>Tabela46792715860[[#Totals],[Total]]</f>
        <v>5</v>
      </c>
    </row>
    <row r="29" spans="2:11" x14ac:dyDescent="0.2">
      <c r="B29" s="23" t="s">
        <v>0</v>
      </c>
      <c r="C29" s="23" t="s">
        <v>305</v>
      </c>
      <c r="D29" s="23" t="s">
        <v>5</v>
      </c>
      <c r="E29" s="23" t="s">
        <v>307</v>
      </c>
      <c r="F29" s="23" t="s">
        <v>308</v>
      </c>
      <c r="G29" s="23" t="s">
        <v>309</v>
      </c>
      <c r="H29" s="23" t="s">
        <v>310</v>
      </c>
      <c r="I29" s="23" t="s">
        <v>311</v>
      </c>
      <c r="J29" s="23" t="s">
        <v>312</v>
      </c>
      <c r="K29" s="23" t="s">
        <v>6</v>
      </c>
    </row>
    <row r="30" spans="2:11" x14ac:dyDescent="0.2">
      <c r="B30" s="24"/>
      <c r="C30" s="25" t="s">
        <v>706</v>
      </c>
      <c r="D30" s="26">
        <v>5</v>
      </c>
      <c r="E30" s="26"/>
      <c r="F30" s="26"/>
      <c r="G30" s="26"/>
      <c r="H30" s="26"/>
      <c r="I30" s="26"/>
      <c r="J30" s="26"/>
      <c r="K30" s="26">
        <f>Tabela46792715860[[#This Row],[Quant.]]</f>
        <v>5</v>
      </c>
    </row>
    <row r="31" spans="2:11" x14ac:dyDescent="0.2">
      <c r="B31" s="46" t="s">
        <v>6</v>
      </c>
      <c r="C31" s="47"/>
      <c r="D31" s="47"/>
      <c r="E31" s="47"/>
      <c r="F31" s="47"/>
      <c r="G31" s="47"/>
      <c r="H31" s="47"/>
      <c r="I31" s="47"/>
      <c r="J31" s="47"/>
      <c r="K31" s="48">
        <f>SUBTOTAL(109,Tabela46792715860[Total])</f>
        <v>5</v>
      </c>
    </row>
    <row r="32" spans="2:11" x14ac:dyDescent="0.2">
      <c r="K32" s="28"/>
    </row>
    <row r="33" spans="2:11" ht="15" x14ac:dyDescent="0.25">
      <c r="B33" s="19" t="s">
        <v>302</v>
      </c>
      <c r="C33" s="155" t="s">
        <v>303</v>
      </c>
      <c r="D33" s="155"/>
      <c r="E33" s="155"/>
      <c r="F33" s="155"/>
      <c r="G33" s="155"/>
      <c r="H33" s="155"/>
      <c r="I33" s="155"/>
      <c r="J33" s="19" t="s">
        <v>243</v>
      </c>
      <c r="K33" s="19" t="s">
        <v>304</v>
      </c>
    </row>
    <row r="34" spans="2:11" ht="15" x14ac:dyDescent="0.2">
      <c r="B34" s="35" t="str">
        <f>MEDIÇÃO!A23</f>
        <v xml:space="preserve"> 3.6 </v>
      </c>
      <c r="C34" s="158" t="str">
        <f>MEDIÇÃO!D23</f>
        <v>REMOÇÃO DE CABOS ELÉTRICOS, DE FORMA MANUAL, SEM REAPROVEITAMENTO. AF  12/2017</v>
      </c>
      <c r="D34" s="158"/>
      <c r="E34" s="158"/>
      <c r="F34" s="158"/>
      <c r="G34" s="158"/>
      <c r="H34" s="158"/>
      <c r="I34" s="158"/>
      <c r="J34" s="35" t="str">
        <f>MEDIÇÃO!E23</f>
        <v>M</v>
      </c>
      <c r="K34" s="36">
        <f>Tabela4679271586061[[#Totals],[Total]]</f>
        <v>1200</v>
      </c>
    </row>
    <row r="35" spans="2:11" x14ac:dyDescent="0.2">
      <c r="B35" s="23" t="s">
        <v>0</v>
      </c>
      <c r="C35" s="23" t="s">
        <v>305</v>
      </c>
      <c r="D35" s="23" t="s">
        <v>5</v>
      </c>
      <c r="E35" s="23" t="s">
        <v>715</v>
      </c>
      <c r="F35" s="23" t="s">
        <v>308</v>
      </c>
      <c r="G35" s="23" t="s">
        <v>309</v>
      </c>
      <c r="H35" s="23" t="s">
        <v>310</v>
      </c>
      <c r="I35" s="23" t="s">
        <v>311</v>
      </c>
      <c r="J35" s="23" t="s">
        <v>312</v>
      </c>
      <c r="K35" s="23" t="s">
        <v>6</v>
      </c>
    </row>
    <row r="36" spans="2:11" x14ac:dyDescent="0.2">
      <c r="B36" s="24"/>
      <c r="C36" s="25" t="s">
        <v>706</v>
      </c>
      <c r="D36" s="26">
        <v>40</v>
      </c>
      <c r="E36" s="26">
        <v>30</v>
      </c>
      <c r="F36" s="26"/>
      <c r="G36" s="26"/>
      <c r="H36" s="26"/>
      <c r="I36" s="26"/>
      <c r="J36" s="26"/>
      <c r="K36" s="26">
        <f>Tabela4679271586061[[#This Row],[Quant.]]*Tabela4679271586061[[#This Row],[Comp.(m)]]</f>
        <v>1200</v>
      </c>
    </row>
    <row r="37" spans="2:11" x14ac:dyDescent="0.2">
      <c r="B37" s="46" t="s">
        <v>6</v>
      </c>
      <c r="C37" s="47"/>
      <c r="D37" s="47"/>
      <c r="E37" s="47"/>
      <c r="F37" s="47"/>
      <c r="G37" s="47"/>
      <c r="H37" s="47"/>
      <c r="I37" s="47"/>
      <c r="J37" s="47"/>
      <c r="K37" s="48">
        <f>SUBTOTAL(109,Tabela4679271586061[Total])</f>
        <v>1200</v>
      </c>
    </row>
    <row r="39" spans="2:11" ht="15" x14ac:dyDescent="0.25">
      <c r="B39" s="19" t="s">
        <v>302</v>
      </c>
      <c r="C39" s="155" t="s">
        <v>303</v>
      </c>
      <c r="D39" s="155"/>
      <c r="E39" s="155"/>
      <c r="F39" s="155"/>
      <c r="G39" s="155"/>
      <c r="H39" s="155"/>
      <c r="I39" s="155"/>
      <c r="J39" s="19" t="s">
        <v>243</v>
      </c>
      <c r="K39" s="19" t="s">
        <v>304</v>
      </c>
    </row>
    <row r="40" spans="2:11" ht="15" x14ac:dyDescent="0.2">
      <c r="B40" s="35" t="str">
        <f>MEDIÇÃO!A31</f>
        <v xml:space="preserve"> 3.14 </v>
      </c>
      <c r="C40" s="158" t="str">
        <f>MEDIÇÃO!D31</f>
        <v>DIVISÓRIA CEGA (N1) - PAINEL MSO/COLMEIA E=35MM - MONTANTE/RODAPÉ DUPLO AÇO GALV PINTADO - COLOCADA</v>
      </c>
      <c r="D40" s="158"/>
      <c r="E40" s="158"/>
      <c r="F40" s="158"/>
      <c r="G40" s="158"/>
      <c r="H40" s="158"/>
      <c r="I40" s="158"/>
      <c r="J40" s="35" t="str">
        <f>MEDIÇÃO!E31</f>
        <v>m²</v>
      </c>
      <c r="K40" s="36">
        <f>Tabela467927158[[#Totals],[Total]]</f>
        <v>53.04</v>
      </c>
    </row>
    <row r="41" spans="2:11" x14ac:dyDescent="0.2">
      <c r="B41" s="23" t="s">
        <v>0</v>
      </c>
      <c r="C41" s="23" t="s">
        <v>305</v>
      </c>
      <c r="D41" s="23" t="s">
        <v>5</v>
      </c>
      <c r="E41" s="23" t="s">
        <v>323</v>
      </c>
      <c r="F41" s="23" t="s">
        <v>324</v>
      </c>
      <c r="G41" s="23" t="s">
        <v>580</v>
      </c>
      <c r="H41" s="23" t="s">
        <v>310</v>
      </c>
      <c r="I41" s="23" t="s">
        <v>311</v>
      </c>
      <c r="J41" s="23" t="s">
        <v>312</v>
      </c>
      <c r="K41" s="23" t="s">
        <v>6</v>
      </c>
    </row>
    <row r="42" spans="2:11" x14ac:dyDescent="0.2">
      <c r="B42" s="24"/>
      <c r="C42" s="25" t="s">
        <v>569</v>
      </c>
      <c r="D42" s="26">
        <v>2</v>
      </c>
      <c r="E42" s="26">
        <v>7.18</v>
      </c>
      <c r="F42" s="26">
        <v>3</v>
      </c>
      <c r="G42" s="26">
        <v>0.5</v>
      </c>
      <c r="H42" s="26"/>
      <c r="I42" s="26"/>
      <c r="J42" s="26"/>
      <c r="K42" s="26">
        <f>Tabela467927158[[#This Row],[Quant.]]*Tabela467927158[[#This Row],[Larg. (m)]]*Tabela467927158[[#This Row],[Altura (m)]]*Tabela467927158[[#This Row],[Coef.]]</f>
        <v>21.54</v>
      </c>
    </row>
    <row r="43" spans="2:11" x14ac:dyDescent="0.2">
      <c r="B43" s="24"/>
      <c r="C43" s="25" t="s">
        <v>585</v>
      </c>
      <c r="D43" s="44">
        <v>1</v>
      </c>
      <c r="E43" s="44">
        <v>3</v>
      </c>
      <c r="F43" s="44">
        <v>3</v>
      </c>
      <c r="G43" s="44">
        <v>1</v>
      </c>
      <c r="H43" s="44"/>
      <c r="I43" s="44"/>
      <c r="J43" s="44"/>
      <c r="K43" s="44">
        <f>Tabela467927158[[#This Row],[Quant.]]*Tabela467927158[[#This Row],[Larg. (m)]]*Tabela467927158[[#This Row],[Altura (m)]]*Tabela467927158[[#This Row],[Coef.]]</f>
        <v>9</v>
      </c>
    </row>
    <row r="44" spans="2:11" x14ac:dyDescent="0.2">
      <c r="B44" s="24"/>
      <c r="C44" s="25" t="s">
        <v>586</v>
      </c>
      <c r="D44" s="44">
        <v>1</v>
      </c>
      <c r="E44" s="44">
        <v>3</v>
      </c>
      <c r="F44" s="44">
        <v>3</v>
      </c>
      <c r="G44" s="44">
        <v>1</v>
      </c>
      <c r="H44" s="44"/>
      <c r="I44" s="44"/>
      <c r="J44" s="44"/>
      <c r="K44" s="44">
        <f>Tabela467927158[[#This Row],[Quant.]]*Tabela467927158[[#This Row],[Larg. (m)]]*Tabela467927158[[#This Row],[Altura (m)]]*Tabela467927158[[#This Row],[Coef.]]</f>
        <v>9</v>
      </c>
    </row>
    <row r="45" spans="2:11" x14ac:dyDescent="0.2">
      <c r="B45" s="24"/>
      <c r="C45" s="25" t="s">
        <v>587</v>
      </c>
      <c r="D45" s="44">
        <v>1</v>
      </c>
      <c r="E45" s="44">
        <v>1.5</v>
      </c>
      <c r="F45" s="44">
        <v>3</v>
      </c>
      <c r="G45" s="44">
        <v>1</v>
      </c>
      <c r="H45" s="44"/>
      <c r="I45" s="44"/>
      <c r="J45" s="44"/>
      <c r="K45" s="44">
        <f>Tabela467927158[[#This Row],[Quant.]]*Tabela467927158[[#This Row],[Larg. (m)]]*Tabela467927158[[#This Row],[Altura (m)]]*Tabela467927158[[#This Row],[Coef.]]</f>
        <v>4.5</v>
      </c>
    </row>
    <row r="46" spans="2:11" x14ac:dyDescent="0.2">
      <c r="B46" s="24"/>
      <c r="C46" s="25" t="s">
        <v>588</v>
      </c>
      <c r="D46" s="44">
        <v>1</v>
      </c>
      <c r="E46" s="44">
        <v>3</v>
      </c>
      <c r="F46" s="44">
        <v>3</v>
      </c>
      <c r="G46" s="44">
        <v>1</v>
      </c>
      <c r="H46" s="44"/>
      <c r="I46" s="44"/>
      <c r="J46" s="44"/>
      <c r="K46" s="44">
        <f>Tabela467927158[[#This Row],[Quant.]]*Tabela467927158[[#This Row],[Larg. (m)]]*Tabela467927158[[#This Row],[Altura (m)]]*Tabela467927158[[#This Row],[Coef.]]</f>
        <v>9</v>
      </c>
    </row>
    <row r="47" spans="2:11" x14ac:dyDescent="0.2">
      <c r="B47" s="46" t="s">
        <v>6</v>
      </c>
      <c r="C47" s="47"/>
      <c r="D47" s="47"/>
      <c r="E47" s="47"/>
      <c r="F47" s="47"/>
      <c r="G47" s="47"/>
      <c r="H47" s="47"/>
      <c r="I47" s="47"/>
      <c r="J47" s="47"/>
      <c r="K47" s="48">
        <f>SUBTOTAL(109,Tabela467927158[Total])</f>
        <v>53.04</v>
      </c>
    </row>
    <row r="49" spans="2:11" ht="15" x14ac:dyDescent="0.25">
      <c r="B49" s="19" t="s">
        <v>302</v>
      </c>
      <c r="C49" s="155" t="s">
        <v>303</v>
      </c>
      <c r="D49" s="155"/>
      <c r="E49" s="155"/>
      <c r="F49" s="155"/>
      <c r="G49" s="155"/>
      <c r="H49" s="155"/>
      <c r="I49" s="155"/>
      <c r="J49" s="19" t="s">
        <v>243</v>
      </c>
      <c r="K49" s="19" t="s">
        <v>304</v>
      </c>
    </row>
    <row r="50" spans="2:11" ht="15" x14ac:dyDescent="0.2">
      <c r="B50" s="49" t="str">
        <f>MEDIÇÃO!A42</f>
        <v xml:space="preserve"> 3.25</v>
      </c>
      <c r="C50" s="160" t="str">
        <f>MEDIÇÃO!D42</f>
        <v>REMOÇÃO DE DIVISÓRIA TIPO DIVILUX/NAVAL</v>
      </c>
      <c r="D50" s="160"/>
      <c r="E50" s="160"/>
      <c r="F50" s="160"/>
      <c r="G50" s="160"/>
      <c r="H50" s="160"/>
      <c r="I50" s="160"/>
      <c r="J50" s="49" t="str">
        <f>MEDIÇÃO!E42</f>
        <v>M2</v>
      </c>
      <c r="K50" s="50">
        <f>Tabela467927159[[#Totals],[Total]]</f>
        <v>80.61</v>
      </c>
    </row>
    <row r="51" spans="2:11" x14ac:dyDescent="0.2">
      <c r="B51" s="23" t="s">
        <v>0</v>
      </c>
      <c r="C51" s="23" t="s">
        <v>305</v>
      </c>
      <c r="D51" s="23" t="s">
        <v>5</v>
      </c>
      <c r="E51" s="23" t="s">
        <v>323</v>
      </c>
      <c r="F51" s="23" t="s">
        <v>324</v>
      </c>
      <c r="G51" s="23" t="s">
        <v>309</v>
      </c>
      <c r="H51" s="23" t="s">
        <v>310</v>
      </c>
      <c r="I51" s="23" t="s">
        <v>311</v>
      </c>
      <c r="J51" s="23" t="s">
        <v>312</v>
      </c>
      <c r="K51" s="23" t="s">
        <v>6</v>
      </c>
    </row>
    <row r="52" spans="2:11" x14ac:dyDescent="0.2">
      <c r="B52" s="24"/>
      <c r="C52" s="25" t="s">
        <v>569</v>
      </c>
      <c r="D52" s="26">
        <v>2</v>
      </c>
      <c r="E52" s="26">
        <v>7.18</v>
      </c>
      <c r="F52" s="26">
        <v>3</v>
      </c>
      <c r="G52" s="26"/>
      <c r="H52" s="26"/>
      <c r="I52" s="26"/>
      <c r="J52" s="26"/>
      <c r="K52" s="26">
        <f>Tabela467927159[[#This Row],[Quant.]]*Tabela467927159[[#This Row],[Larg. (m)]]*Tabela467927159[[#This Row],[Altura (m)]]</f>
        <v>43.08</v>
      </c>
    </row>
    <row r="53" spans="2:11" x14ac:dyDescent="0.2">
      <c r="B53" s="42"/>
      <c r="C53" s="25" t="s">
        <v>570</v>
      </c>
      <c r="D53" s="45">
        <v>1</v>
      </c>
      <c r="E53" s="45">
        <v>3.15</v>
      </c>
      <c r="F53" s="45">
        <v>3</v>
      </c>
      <c r="G53" s="45"/>
      <c r="H53" s="45"/>
      <c r="I53" s="45"/>
      <c r="J53" s="45"/>
      <c r="K53" s="45">
        <f>Tabela467927159[[#This Row],[Quant.]]*Tabela467927159[[#This Row],[Larg. (m)]]*Tabela467927159[[#This Row],[Altura (m)]]</f>
        <v>9.4499999999999993</v>
      </c>
    </row>
    <row r="54" spans="2:11" x14ac:dyDescent="0.2">
      <c r="B54" s="42"/>
      <c r="C54" s="43" t="s">
        <v>571</v>
      </c>
      <c r="D54" s="45">
        <v>1</v>
      </c>
      <c r="E54" s="45">
        <v>2.4300000000000002</v>
      </c>
      <c r="F54" s="45">
        <v>3</v>
      </c>
      <c r="G54" s="45"/>
      <c r="H54" s="45"/>
      <c r="I54" s="45"/>
      <c r="J54" s="45"/>
      <c r="K54" s="45">
        <f>Tabela467927159[[#This Row],[Quant.]]*Tabela467927159[[#This Row],[Larg. (m)]]*Tabela467927159[[#This Row],[Altura (m)]]</f>
        <v>7.2900000000000009</v>
      </c>
    </row>
    <row r="55" spans="2:11" x14ac:dyDescent="0.2">
      <c r="B55" s="42"/>
      <c r="C55" s="43" t="s">
        <v>572</v>
      </c>
      <c r="D55" s="45">
        <v>1</v>
      </c>
      <c r="E55" s="45">
        <v>3.15</v>
      </c>
      <c r="F55" s="45">
        <v>3</v>
      </c>
      <c r="G55" s="45"/>
      <c r="H55" s="45"/>
      <c r="I55" s="45"/>
      <c r="J55" s="45"/>
      <c r="K55" s="45">
        <f>Tabela467927159[[#This Row],[Quant.]]*Tabela467927159[[#This Row],[Larg. (m)]]*Tabela467927159[[#This Row],[Altura (m)]]</f>
        <v>9.4499999999999993</v>
      </c>
    </row>
    <row r="56" spans="2:11" x14ac:dyDescent="0.2">
      <c r="B56" s="42"/>
      <c r="C56" s="43" t="s">
        <v>573</v>
      </c>
      <c r="D56" s="45">
        <v>1</v>
      </c>
      <c r="E56" s="45">
        <v>3.78</v>
      </c>
      <c r="F56" s="45">
        <v>3</v>
      </c>
      <c r="G56" s="45"/>
      <c r="H56" s="45"/>
      <c r="I56" s="45"/>
      <c r="J56" s="45"/>
      <c r="K56" s="45">
        <f>Tabela467927159[[#This Row],[Quant.]]*Tabela467927159[[#This Row],[Larg. (m)]]*Tabela467927159[[#This Row],[Altura (m)]]</f>
        <v>11.34</v>
      </c>
    </row>
    <row r="57" spans="2:11" x14ac:dyDescent="0.2">
      <c r="B57" s="46" t="s">
        <v>6</v>
      </c>
      <c r="C57" s="47"/>
      <c r="D57" s="47"/>
      <c r="E57" s="47"/>
      <c r="F57" s="47"/>
      <c r="G57" s="47"/>
      <c r="H57" s="47"/>
      <c r="I57" s="47"/>
      <c r="J57" s="47"/>
      <c r="K57" s="48">
        <f>SUBTOTAL(109,Tabela467927159[Total])</f>
        <v>80.61</v>
      </c>
    </row>
    <row r="59" spans="2:11" ht="15" x14ac:dyDescent="0.25">
      <c r="B59" s="19" t="s">
        <v>302</v>
      </c>
      <c r="C59" s="155" t="s">
        <v>303</v>
      </c>
      <c r="D59" s="155"/>
      <c r="E59" s="155"/>
      <c r="F59" s="155"/>
      <c r="G59" s="155"/>
      <c r="H59" s="155"/>
      <c r="I59" s="155"/>
      <c r="J59" s="19" t="s">
        <v>243</v>
      </c>
      <c r="K59" s="19" t="s">
        <v>304</v>
      </c>
    </row>
    <row r="60" spans="2:11" ht="15" x14ac:dyDescent="0.2">
      <c r="B60" s="49" t="str">
        <f>MEDIÇÃO!A43</f>
        <v xml:space="preserve"> 3.26</v>
      </c>
      <c r="C60" s="160" t="str">
        <f>MEDIÇÃO!D43</f>
        <v>CONJUNTO DE FERRAGENS, PARA PORTAS DIVISÓRIAS TIPO EUCATEX OU SIMILAR, FORNECIMENTO DE FECHADURA CILÍNDRICA, 3 DOBRADIÇAS DE LATÃO (3"X2 1/2"), COM PINOS BOLA E ANEIS DE LATÃO, LOCKWELL OU SIMILAR, NA COR PRETA (INSTALAÇÃO INCLUSA NO SERVIÇO DE DIVISÓRIAS)</v>
      </c>
      <c r="D60" s="160"/>
      <c r="E60" s="160"/>
      <c r="F60" s="160"/>
      <c r="G60" s="160"/>
      <c r="H60" s="160"/>
      <c r="I60" s="160"/>
      <c r="J60" s="49" t="str">
        <f>MEDIÇÃO!E43</f>
        <v>UND</v>
      </c>
      <c r="K60" s="50">
        <f>Tabela467927161[[#Totals],[Total]]</f>
        <v>6</v>
      </c>
    </row>
    <row r="61" spans="2:11" x14ac:dyDescent="0.2">
      <c r="B61" s="23" t="s">
        <v>0</v>
      </c>
      <c r="C61" s="23" t="s">
        <v>305</v>
      </c>
      <c r="D61" s="23" t="s">
        <v>5</v>
      </c>
      <c r="E61" s="23" t="s">
        <v>307</v>
      </c>
      <c r="F61" s="23" t="s">
        <v>308</v>
      </c>
      <c r="G61" s="23" t="s">
        <v>309</v>
      </c>
      <c r="H61" s="23" t="s">
        <v>310</v>
      </c>
      <c r="I61" s="23" t="s">
        <v>311</v>
      </c>
      <c r="J61" s="23" t="s">
        <v>312</v>
      </c>
      <c r="K61" s="23" t="s">
        <v>6</v>
      </c>
    </row>
    <row r="62" spans="2:11" x14ac:dyDescent="0.2">
      <c r="B62" s="24"/>
      <c r="C62" s="25" t="s">
        <v>574</v>
      </c>
      <c r="D62" s="26">
        <v>1</v>
      </c>
      <c r="E62" s="26"/>
      <c r="F62" s="26"/>
      <c r="G62" s="26"/>
      <c r="H62" s="26"/>
      <c r="I62" s="26"/>
      <c r="J62" s="26"/>
      <c r="K62" s="26">
        <f>Tabela467927161[[#This Row],[Quant.]]</f>
        <v>1</v>
      </c>
    </row>
    <row r="63" spans="2:11" x14ac:dyDescent="0.2">
      <c r="B63" s="42"/>
      <c r="C63" s="43" t="s">
        <v>575</v>
      </c>
      <c r="D63" s="45">
        <v>1</v>
      </c>
      <c r="E63" s="45"/>
      <c r="F63" s="45"/>
      <c r="G63" s="45"/>
      <c r="H63" s="45"/>
      <c r="I63" s="45"/>
      <c r="J63" s="45"/>
      <c r="K63" s="45">
        <f>Tabela467927161[[#This Row],[Quant.]]</f>
        <v>1</v>
      </c>
    </row>
    <row r="64" spans="2:11" x14ac:dyDescent="0.2">
      <c r="B64" s="42"/>
      <c r="C64" s="43" t="s">
        <v>576</v>
      </c>
      <c r="D64" s="45">
        <v>1</v>
      </c>
      <c r="E64" s="45"/>
      <c r="F64" s="45"/>
      <c r="G64" s="45"/>
      <c r="H64" s="45"/>
      <c r="I64" s="45"/>
      <c r="J64" s="45"/>
      <c r="K64" s="45">
        <f>Tabela467927161[[#This Row],[Quant.]]</f>
        <v>1</v>
      </c>
    </row>
    <row r="65" spans="2:11" x14ac:dyDescent="0.2">
      <c r="B65" s="42"/>
      <c r="C65" s="43" t="s">
        <v>577</v>
      </c>
      <c r="D65" s="45">
        <v>1</v>
      </c>
      <c r="E65" s="45"/>
      <c r="F65" s="45"/>
      <c r="G65" s="45"/>
      <c r="H65" s="45"/>
      <c r="I65" s="45"/>
      <c r="J65" s="45"/>
      <c r="K65" s="45">
        <f>Tabela467927161[[#This Row],[Quant.]]</f>
        <v>1</v>
      </c>
    </row>
    <row r="66" spans="2:11" x14ac:dyDescent="0.2">
      <c r="B66" s="42"/>
      <c r="C66" s="43" t="s">
        <v>578</v>
      </c>
      <c r="D66" s="45">
        <v>1</v>
      </c>
      <c r="E66" s="45"/>
      <c r="F66" s="45"/>
      <c r="G66" s="45"/>
      <c r="H66" s="45"/>
      <c r="I66" s="45"/>
      <c r="J66" s="45"/>
      <c r="K66" s="45">
        <f>Tabela467927161[[#This Row],[Quant.]]</f>
        <v>1</v>
      </c>
    </row>
    <row r="67" spans="2:11" x14ac:dyDescent="0.2">
      <c r="B67" s="42"/>
      <c r="C67" s="43" t="s">
        <v>579</v>
      </c>
      <c r="D67" s="45">
        <v>1</v>
      </c>
      <c r="E67" s="45"/>
      <c r="F67" s="45"/>
      <c r="G67" s="45"/>
      <c r="H67" s="45"/>
      <c r="I67" s="45"/>
      <c r="J67" s="45"/>
      <c r="K67" s="45">
        <f>Tabela467927161[[#This Row],[Quant.]]</f>
        <v>1</v>
      </c>
    </row>
    <row r="68" spans="2:11" x14ac:dyDescent="0.2">
      <c r="B68" s="55" t="s">
        <v>6</v>
      </c>
      <c r="C68" s="56"/>
      <c r="D68" s="56"/>
      <c r="E68" s="56"/>
      <c r="F68" s="56"/>
      <c r="G68" s="56"/>
      <c r="H68" s="56"/>
      <c r="I68" s="56"/>
      <c r="J68" s="56"/>
      <c r="K68" s="57">
        <f>SUBTOTAL(109,Tabela467927161[Total])</f>
        <v>6</v>
      </c>
    </row>
    <row r="70" spans="2:11" ht="15" x14ac:dyDescent="0.25">
      <c r="B70" s="19" t="s">
        <v>302</v>
      </c>
      <c r="C70" s="155" t="s">
        <v>303</v>
      </c>
      <c r="D70" s="155"/>
      <c r="E70" s="155"/>
      <c r="F70" s="155"/>
      <c r="G70" s="155"/>
      <c r="H70" s="155"/>
      <c r="I70" s="155"/>
      <c r="J70" s="19" t="s">
        <v>243</v>
      </c>
      <c r="K70" s="19" t="s">
        <v>304</v>
      </c>
    </row>
    <row r="71" spans="2:11" ht="15" x14ac:dyDescent="0.2">
      <c r="B71" s="49" t="str">
        <f>MEDIÇÃO!A44</f>
        <v xml:space="preserve"> 3.27</v>
      </c>
      <c r="C71" s="160" t="str">
        <f>MEDIÇÃO!D44</f>
        <v>MONTAGEM DE DIVISÓRIA COM APROVEITAMENTO DE MATERIAL</v>
      </c>
      <c r="D71" s="160"/>
      <c r="E71" s="160"/>
      <c r="F71" s="160"/>
      <c r="G71" s="160"/>
      <c r="H71" s="160"/>
      <c r="I71" s="160"/>
      <c r="J71" s="49" t="str">
        <f>MEDIÇÃO!E44</f>
        <v>M2</v>
      </c>
      <c r="K71" s="50">
        <f>Tabela467927162[[#Totals],[Total]]</f>
        <v>21.54</v>
      </c>
    </row>
    <row r="72" spans="2:11" x14ac:dyDescent="0.2">
      <c r="B72" s="23" t="s">
        <v>0</v>
      </c>
      <c r="C72" s="23" t="s">
        <v>305</v>
      </c>
      <c r="D72" s="23" t="s">
        <v>5</v>
      </c>
      <c r="E72" s="23" t="s">
        <v>323</v>
      </c>
      <c r="F72" s="23" t="s">
        <v>324</v>
      </c>
      <c r="G72" s="23" t="s">
        <v>666</v>
      </c>
      <c r="H72" s="23" t="s">
        <v>310</v>
      </c>
      <c r="I72" s="23" t="s">
        <v>311</v>
      </c>
      <c r="J72" s="23" t="s">
        <v>312</v>
      </c>
      <c r="K72" s="23" t="s">
        <v>6</v>
      </c>
    </row>
    <row r="73" spans="2:11" x14ac:dyDescent="0.2">
      <c r="B73" s="24"/>
      <c r="C73" s="25" t="s">
        <v>569</v>
      </c>
      <c r="D73" s="26">
        <v>2</v>
      </c>
      <c r="E73" s="26">
        <v>7.18</v>
      </c>
      <c r="F73" s="26">
        <v>3</v>
      </c>
      <c r="G73" s="26">
        <v>0.5</v>
      </c>
      <c r="H73" s="26"/>
      <c r="I73" s="26"/>
      <c r="J73" s="26"/>
      <c r="K73" s="26">
        <f>Tabela467927162[[#This Row],[Quant.]]*Tabela467927162[[#This Row],[Larg. (m)]]*Tabela467927162[[#This Row],[Altura (m)]]*Tabela467927162[[#This Row],[COEF]]</f>
        <v>21.54</v>
      </c>
    </row>
    <row r="74" spans="2:11" x14ac:dyDescent="0.2">
      <c r="B74" s="46" t="s">
        <v>6</v>
      </c>
      <c r="C74" s="47"/>
      <c r="D74" s="47"/>
      <c r="E74" s="47"/>
      <c r="F74" s="47"/>
      <c r="G74" s="47"/>
      <c r="H74" s="47"/>
      <c r="I74" s="47"/>
      <c r="J74" s="47"/>
      <c r="K74" s="48">
        <f>SUBTOTAL(109,Tabela467927162[Total])</f>
        <v>21.54</v>
      </c>
    </row>
    <row r="76" spans="2:11" ht="15" x14ac:dyDescent="0.25">
      <c r="B76" s="19" t="s">
        <v>302</v>
      </c>
      <c r="C76" s="155" t="s">
        <v>303</v>
      </c>
      <c r="D76" s="155"/>
      <c r="E76" s="155"/>
      <c r="F76" s="155"/>
      <c r="G76" s="155"/>
      <c r="H76" s="155"/>
      <c r="I76" s="155"/>
      <c r="J76" s="19" t="s">
        <v>243</v>
      </c>
      <c r="K76" s="19" t="s">
        <v>304</v>
      </c>
    </row>
    <row r="77" spans="2:11" ht="15" x14ac:dyDescent="0.2">
      <c r="B77" s="49" t="str">
        <f>MEDIÇÃO!A45</f>
        <v xml:space="preserve"> 3.28</v>
      </c>
      <c r="C77" s="160" t="str">
        <f>MEDIÇÃO!D45</f>
        <v>DIVISÓRIA PAINEL/VIDRO/VIDRO MSO/COLMEIA E=35MM - MONTANTE/RODAPE DUPLO AÇO GALV PINTADO - COLOCADA</v>
      </c>
      <c r="D77" s="160"/>
      <c r="E77" s="160"/>
      <c r="F77" s="160"/>
      <c r="G77" s="160"/>
      <c r="H77" s="160"/>
      <c r="I77" s="160"/>
      <c r="J77" s="49" t="str">
        <f>MEDIÇÃO!E45</f>
        <v>M2</v>
      </c>
      <c r="K77" s="50">
        <f>Tabela467927160[[#Totals],[Total]]</f>
        <v>56.4</v>
      </c>
    </row>
    <row r="78" spans="2:11" x14ac:dyDescent="0.2">
      <c r="B78" s="23" t="s">
        <v>0</v>
      </c>
      <c r="C78" s="23" t="s">
        <v>305</v>
      </c>
      <c r="D78" s="23" t="s">
        <v>5</v>
      </c>
      <c r="E78" s="23" t="s">
        <v>323</v>
      </c>
      <c r="F78" s="23" t="s">
        <v>324</v>
      </c>
      <c r="G78" s="23" t="s">
        <v>309</v>
      </c>
      <c r="H78" s="23" t="s">
        <v>310</v>
      </c>
      <c r="I78" s="23" t="s">
        <v>311</v>
      </c>
      <c r="J78" s="23" t="s">
        <v>312</v>
      </c>
      <c r="K78" s="23" t="s">
        <v>6</v>
      </c>
    </row>
    <row r="79" spans="2:11" x14ac:dyDescent="0.2">
      <c r="B79" s="24"/>
      <c r="C79" s="25" t="s">
        <v>581</v>
      </c>
      <c r="D79" s="44">
        <v>1</v>
      </c>
      <c r="E79" s="44">
        <v>3</v>
      </c>
      <c r="F79" s="44">
        <v>3</v>
      </c>
      <c r="G79" s="26"/>
      <c r="H79" s="26"/>
      <c r="I79" s="26"/>
      <c r="J79" s="26"/>
      <c r="K79" s="44">
        <f>Tabela467927160[[#This Row],[Quant.]]*Tabela467927160[[#This Row],[Larg. (m)]]*Tabela467927160[[#This Row],[Altura (m)]]</f>
        <v>9</v>
      </c>
    </row>
    <row r="80" spans="2:11" x14ac:dyDescent="0.2">
      <c r="B80" s="24"/>
      <c r="C80" s="25" t="s">
        <v>582</v>
      </c>
      <c r="D80" s="101">
        <v>1</v>
      </c>
      <c r="E80" s="101">
        <v>2.9</v>
      </c>
      <c r="F80" s="101">
        <v>3</v>
      </c>
      <c r="G80" s="25"/>
      <c r="H80" s="25"/>
      <c r="I80" s="25"/>
      <c r="J80" s="25"/>
      <c r="K80" s="101">
        <f>Tabela467927160[[#This Row],[Quant.]]*Tabela467927160[[#This Row],[Larg. (m)]]*Tabela467927160[[#This Row],[Altura (m)]]</f>
        <v>8.6999999999999993</v>
      </c>
    </row>
    <row r="81" spans="2:11" x14ac:dyDescent="0.2">
      <c r="B81" s="24"/>
      <c r="C81" s="25" t="s">
        <v>583</v>
      </c>
      <c r="D81" s="101">
        <v>1</v>
      </c>
      <c r="E81" s="101">
        <v>3</v>
      </c>
      <c r="F81" s="101">
        <v>3</v>
      </c>
      <c r="G81" s="25"/>
      <c r="H81" s="25"/>
      <c r="I81" s="25"/>
      <c r="J81" s="25"/>
      <c r="K81" s="101">
        <f>Tabela467927160[[#This Row],[Quant.]]*Tabela467927160[[#This Row],[Larg. (m)]]*Tabela467927160[[#This Row],[Altura (m)]]</f>
        <v>9</v>
      </c>
    </row>
    <row r="82" spans="2:11" x14ac:dyDescent="0.2">
      <c r="B82" s="24"/>
      <c r="C82" s="25" t="s">
        <v>584</v>
      </c>
      <c r="D82" s="101">
        <v>1</v>
      </c>
      <c r="E82" s="101">
        <v>2.9</v>
      </c>
      <c r="F82" s="101">
        <v>3</v>
      </c>
      <c r="G82" s="25"/>
      <c r="H82" s="25"/>
      <c r="I82" s="25"/>
      <c r="J82" s="25"/>
      <c r="K82" s="101">
        <f>Tabela467927160[[#This Row],[Quant.]]*Tabela467927160[[#This Row],[Larg. (m)]]*Tabela467927160[[#This Row],[Altura (m)]]</f>
        <v>8.6999999999999993</v>
      </c>
    </row>
    <row r="83" spans="2:11" x14ac:dyDescent="0.2">
      <c r="B83" s="24"/>
      <c r="C83" s="25" t="s">
        <v>589</v>
      </c>
      <c r="D83" s="101">
        <v>1</v>
      </c>
      <c r="E83" s="101">
        <v>4</v>
      </c>
      <c r="F83" s="101">
        <v>3</v>
      </c>
      <c r="G83" s="25"/>
      <c r="H83" s="25"/>
      <c r="I83" s="25"/>
      <c r="J83" s="25"/>
      <c r="K83" s="101">
        <f>Tabela467927160[[#This Row],[Quant.]]*Tabela467927160[[#This Row],[Larg. (m)]]*Tabela467927160[[#This Row],[Altura (m)]]</f>
        <v>12</v>
      </c>
    </row>
    <row r="84" spans="2:11" x14ac:dyDescent="0.2">
      <c r="B84" s="24"/>
      <c r="C84" s="25" t="s">
        <v>590</v>
      </c>
      <c r="D84" s="101">
        <v>1</v>
      </c>
      <c r="E84" s="101">
        <v>3</v>
      </c>
      <c r="F84" s="101">
        <v>3</v>
      </c>
      <c r="G84" s="25"/>
      <c r="H84" s="25"/>
      <c r="I84" s="25"/>
      <c r="J84" s="25"/>
      <c r="K84" s="101">
        <f>Tabela467927160[[#This Row],[Quant.]]*Tabela467927160[[#This Row],[Larg. (m)]]*Tabela467927160[[#This Row],[Altura (m)]]</f>
        <v>9</v>
      </c>
    </row>
    <row r="85" spans="2:11" x14ac:dyDescent="0.2">
      <c r="B85" s="46" t="s">
        <v>6</v>
      </c>
      <c r="C85" s="47"/>
      <c r="D85" s="47"/>
      <c r="E85" s="47"/>
      <c r="F85" s="47"/>
      <c r="G85" s="47"/>
      <c r="H85" s="47"/>
      <c r="I85" s="47"/>
      <c r="J85" s="47"/>
      <c r="K85" s="48">
        <f>SUBTOTAL(109,Tabela467927160[Total])</f>
        <v>56.4</v>
      </c>
    </row>
    <row r="87" spans="2:11" ht="15" x14ac:dyDescent="0.25">
      <c r="B87" s="19" t="s">
        <v>302</v>
      </c>
      <c r="C87" s="155" t="s">
        <v>303</v>
      </c>
      <c r="D87" s="155"/>
      <c r="E87" s="155"/>
      <c r="F87" s="155"/>
      <c r="G87" s="155"/>
      <c r="H87" s="155"/>
      <c r="I87" s="155"/>
      <c r="J87" s="19" t="s">
        <v>243</v>
      </c>
      <c r="K87" s="19" t="s">
        <v>304</v>
      </c>
    </row>
    <row r="88" spans="2:11" ht="15" x14ac:dyDescent="0.2">
      <c r="B88" s="49" t="str">
        <f>MEDIÇÃO!A46</f>
        <v xml:space="preserve"> 3.29</v>
      </c>
      <c r="C88" s="160" t="str">
        <f>MEDIÇÃO!D46</f>
        <v>DIVISÓRIA PAINEL/PAINEL/VIDRO MSO/COLMEIA E=35MM - MONTANTE/RODAPE DUPLO AÇO GALV PINTADO - COLOCADA</v>
      </c>
      <c r="D88" s="160"/>
      <c r="E88" s="160"/>
      <c r="F88" s="160"/>
      <c r="G88" s="160"/>
      <c r="H88" s="160"/>
      <c r="I88" s="160"/>
      <c r="J88" s="49" t="str">
        <f>MEDIÇÃO!E46</f>
        <v>M3</v>
      </c>
      <c r="K88" s="50">
        <f>Tabela46792716025[[#Totals],[Total]]</f>
        <v>54.3</v>
      </c>
    </row>
    <row r="89" spans="2:11" x14ac:dyDescent="0.2">
      <c r="B89" s="23" t="s">
        <v>0</v>
      </c>
      <c r="C89" s="23" t="s">
        <v>305</v>
      </c>
      <c r="D89" s="23" t="s">
        <v>5</v>
      </c>
      <c r="E89" s="23" t="s">
        <v>323</v>
      </c>
      <c r="F89" s="23" t="s">
        <v>324</v>
      </c>
      <c r="G89" s="23" t="s">
        <v>309</v>
      </c>
      <c r="H89" s="23" t="s">
        <v>310</v>
      </c>
      <c r="I89" s="23" t="s">
        <v>311</v>
      </c>
      <c r="J89" s="23" t="s">
        <v>312</v>
      </c>
      <c r="K89" s="23" t="s">
        <v>6</v>
      </c>
    </row>
    <row r="90" spans="2:11" x14ac:dyDescent="0.2">
      <c r="B90" s="24"/>
      <c r="C90" s="25" t="s">
        <v>599</v>
      </c>
      <c r="D90" s="44">
        <v>2</v>
      </c>
      <c r="E90" s="44">
        <v>3</v>
      </c>
      <c r="F90" s="44">
        <v>3</v>
      </c>
      <c r="G90" s="26"/>
      <c r="H90" s="26"/>
      <c r="I90" s="26"/>
      <c r="J90" s="26"/>
      <c r="K90" s="44">
        <f>Tabela46792716025[[#This Row],[Quant.]]*Tabela46792716025[[#This Row],[Larg. (m)]]*Tabela46792716025[[#This Row],[Altura (m)]]</f>
        <v>18</v>
      </c>
    </row>
    <row r="91" spans="2:11" x14ac:dyDescent="0.2">
      <c r="B91" s="24"/>
      <c r="C91" s="25" t="s">
        <v>597</v>
      </c>
      <c r="D91" s="101">
        <v>1</v>
      </c>
      <c r="E91" s="101">
        <v>1.5</v>
      </c>
      <c r="F91" s="101">
        <v>3</v>
      </c>
      <c r="G91" s="25"/>
      <c r="H91" s="25"/>
      <c r="I91" s="25"/>
      <c r="J91" s="25"/>
      <c r="K91" s="101">
        <f>Tabela46792716025[[#This Row],[Quant.]]*Tabela46792716025[[#This Row],[Larg. (m)]]*Tabela46792716025[[#This Row],[Altura (m)]]</f>
        <v>4.5</v>
      </c>
    </row>
    <row r="92" spans="2:11" x14ac:dyDescent="0.2">
      <c r="B92" s="24"/>
      <c r="C92" s="25" t="s">
        <v>598</v>
      </c>
      <c r="D92" s="101">
        <v>1</v>
      </c>
      <c r="E92" s="101">
        <v>4</v>
      </c>
      <c r="F92" s="101">
        <v>3</v>
      </c>
      <c r="G92" s="25"/>
      <c r="H92" s="25"/>
      <c r="I92" s="25"/>
      <c r="J92" s="25"/>
      <c r="K92" s="101">
        <f>Tabela46792716025[[#This Row],[Quant.]]*Tabela46792716025[[#This Row],[Larg. (m)]]*Tabela46792716025[[#This Row],[Altura (m)]]</f>
        <v>12</v>
      </c>
    </row>
    <row r="93" spans="2:11" x14ac:dyDescent="0.2">
      <c r="B93" s="24"/>
      <c r="C93" s="25" t="s">
        <v>590</v>
      </c>
      <c r="D93" s="101">
        <v>2</v>
      </c>
      <c r="E93" s="101">
        <v>3.3</v>
      </c>
      <c r="F93" s="101">
        <v>3</v>
      </c>
      <c r="G93" s="25"/>
      <c r="H93" s="25"/>
      <c r="I93" s="25"/>
      <c r="J93" s="25"/>
      <c r="K93" s="101">
        <f>Tabela46792716025[[#This Row],[Quant.]]*Tabela46792716025[[#This Row],[Larg. (m)]]*Tabela46792716025[[#This Row],[Altura (m)]]</f>
        <v>19.799999999999997</v>
      </c>
    </row>
    <row r="94" spans="2:11" x14ac:dyDescent="0.2">
      <c r="B94" s="46" t="s">
        <v>6</v>
      </c>
      <c r="C94" s="47"/>
      <c r="D94" s="47"/>
      <c r="E94" s="47"/>
      <c r="F94" s="47"/>
      <c r="G94" s="47"/>
      <c r="H94" s="47"/>
      <c r="I94" s="47"/>
      <c r="J94" s="47"/>
      <c r="K94" s="48">
        <f>SUBTOTAL(109,Tabela46792716025[Total])</f>
        <v>54.3</v>
      </c>
    </row>
    <row r="96" spans="2:11" x14ac:dyDescent="0.2">
      <c r="K96" s="28"/>
    </row>
    <row r="97" spans="2:11" ht="15.75" x14ac:dyDescent="0.25">
      <c r="B97" s="38" t="str">
        <f>MEDIÇÃO!A47</f>
        <v xml:space="preserve"> 4 </v>
      </c>
      <c r="C97" s="39" t="str">
        <f>MEDIÇÃO!D47</f>
        <v>FORROS</v>
      </c>
      <c r="D97" s="40"/>
      <c r="E97" s="40"/>
      <c r="F97" s="40"/>
      <c r="G97" s="40"/>
      <c r="H97" s="40"/>
      <c r="I97" s="40"/>
      <c r="J97" s="40"/>
      <c r="K97" s="41"/>
    </row>
    <row r="99" spans="2:11" ht="15" x14ac:dyDescent="0.25">
      <c r="B99" s="19" t="s">
        <v>302</v>
      </c>
      <c r="C99" s="155" t="s">
        <v>303</v>
      </c>
      <c r="D99" s="155"/>
      <c r="E99" s="155"/>
      <c r="F99" s="155"/>
      <c r="G99" s="155"/>
      <c r="H99" s="155"/>
      <c r="I99" s="155"/>
      <c r="J99" s="19" t="s">
        <v>243</v>
      </c>
      <c r="K99" s="19" t="s">
        <v>304</v>
      </c>
    </row>
    <row r="100" spans="2:11" ht="15" x14ac:dyDescent="0.2">
      <c r="B100" s="49" t="str">
        <f>MEDIÇÃO!A56</f>
        <v xml:space="preserve"> 4.9</v>
      </c>
      <c r="C100" s="160" t="str">
        <f>MEDIÇÃO!D56</f>
        <v>REMANEJAMENTO DE FORROS (PACOTE / MODULADOS) - EXECUÇÃO</v>
      </c>
      <c r="D100" s="160"/>
      <c r="E100" s="160"/>
      <c r="F100" s="160"/>
      <c r="G100" s="160"/>
      <c r="H100" s="160"/>
      <c r="I100" s="160"/>
      <c r="J100" s="49" t="str">
        <f>MEDIÇÃO!E56</f>
        <v>M2</v>
      </c>
      <c r="K100" s="50">
        <f>Tabela467927163[[#Totals],[Total]]</f>
        <v>12</v>
      </c>
    </row>
    <row r="101" spans="2:11" x14ac:dyDescent="0.2">
      <c r="B101" s="23" t="s">
        <v>0</v>
      </c>
      <c r="C101" s="23" t="s">
        <v>305</v>
      </c>
      <c r="D101" s="23" t="s">
        <v>335</v>
      </c>
      <c r="E101" s="23" t="s">
        <v>307</v>
      </c>
      <c r="F101" s="23" t="s">
        <v>308</v>
      </c>
      <c r="G101" s="23" t="s">
        <v>309</v>
      </c>
      <c r="H101" s="23" t="s">
        <v>310</v>
      </c>
      <c r="I101" s="23" t="s">
        <v>311</v>
      </c>
      <c r="J101" s="23" t="s">
        <v>312</v>
      </c>
      <c r="K101" s="23" t="s">
        <v>6</v>
      </c>
    </row>
    <row r="102" spans="2:11" x14ac:dyDescent="0.2">
      <c r="B102" s="24"/>
      <c r="C102" s="25" t="s">
        <v>667</v>
      </c>
      <c r="D102" s="26">
        <v>12</v>
      </c>
      <c r="E102" s="26"/>
      <c r="F102" s="26"/>
      <c r="G102" s="26"/>
      <c r="H102" s="26"/>
      <c r="I102" s="26"/>
      <c r="J102" s="26"/>
      <c r="K102" s="26">
        <f>Tabela467927163[[#This Row],[Área (m²)]]</f>
        <v>12</v>
      </c>
    </row>
    <row r="103" spans="2:11" x14ac:dyDescent="0.2">
      <c r="B103" s="27" t="s">
        <v>6</v>
      </c>
      <c r="K103" s="28">
        <f>SUBTOTAL(109,Tabela467927163[Total])</f>
        <v>12</v>
      </c>
    </row>
    <row r="104" spans="2:11" x14ac:dyDescent="0.2">
      <c r="K104" s="28"/>
    </row>
    <row r="106" spans="2:11" ht="15.75" x14ac:dyDescent="0.25">
      <c r="B106" s="38" t="str">
        <f>MEDIÇÃO!A87</f>
        <v xml:space="preserve"> 7 </v>
      </c>
      <c r="C106" s="39" t="str">
        <f>MEDIÇÃO!D87</f>
        <v>INSTALAÇÕES ELÉTRICAS / DADOS / VOZ e IMAGEM</v>
      </c>
      <c r="D106" s="40"/>
      <c r="E106" s="40"/>
      <c r="F106" s="40"/>
      <c r="G106" s="40"/>
      <c r="H106" s="40"/>
      <c r="I106" s="40"/>
      <c r="J106" s="40"/>
      <c r="K106" s="41"/>
    </row>
    <row r="108" spans="2:11" ht="15" x14ac:dyDescent="0.25">
      <c r="B108" s="19" t="s">
        <v>302</v>
      </c>
      <c r="C108" s="155" t="s">
        <v>303</v>
      </c>
      <c r="D108" s="155"/>
      <c r="E108" s="155"/>
      <c r="F108" s="155"/>
      <c r="G108" s="155"/>
      <c r="H108" s="155"/>
      <c r="I108" s="155"/>
      <c r="J108" s="19" t="s">
        <v>243</v>
      </c>
      <c r="K108" s="19" t="s">
        <v>304</v>
      </c>
    </row>
    <row r="109" spans="2:11" ht="15" x14ac:dyDescent="0.2">
      <c r="B109" s="35" t="str">
        <f>MEDIÇÃO!A88</f>
        <v xml:space="preserve"> 7.1 </v>
      </c>
      <c r="C109" s="158" t="str">
        <f>MEDIÇÃO!D88</f>
        <v>CABO DE COBRE FLEXÍVEL ISOLADO, 4 MM², ANTI-CHAMA 450/750 V, PARA CIRCUITOS TERMINAIS - FORNECIMENTO E INSTALAÇÃO. AF  12/2015</v>
      </c>
      <c r="D109" s="158"/>
      <c r="E109" s="158"/>
      <c r="F109" s="158"/>
      <c r="G109" s="158"/>
      <c r="H109" s="158"/>
      <c r="I109" s="158"/>
      <c r="J109" s="35" t="str">
        <f>MEDIÇÃO!E88</f>
        <v>M</v>
      </c>
      <c r="K109" s="36">
        <f>Tabela467927171[[#Totals],[Total]]</f>
        <v>1584</v>
      </c>
    </row>
    <row r="110" spans="2:11" x14ac:dyDescent="0.2">
      <c r="B110" s="23" t="s">
        <v>0</v>
      </c>
      <c r="C110" s="23" t="s">
        <v>305</v>
      </c>
      <c r="D110" s="23" t="s">
        <v>724</v>
      </c>
      <c r="E110" s="23" t="s">
        <v>362</v>
      </c>
      <c r="F110" s="23" t="s">
        <v>666</v>
      </c>
      <c r="G110" s="23" t="s">
        <v>309</v>
      </c>
      <c r="H110" s="23" t="s">
        <v>310</v>
      </c>
      <c r="I110" s="23" t="s">
        <v>311</v>
      </c>
      <c r="J110" s="23" t="s">
        <v>312</v>
      </c>
      <c r="K110" s="23" t="s">
        <v>6</v>
      </c>
    </row>
    <row r="111" spans="2:11" x14ac:dyDescent="0.2">
      <c r="B111" s="24"/>
      <c r="C111" s="25" t="s">
        <v>708</v>
      </c>
      <c r="D111" s="34">
        <v>14</v>
      </c>
      <c r="E111" s="34">
        <v>30</v>
      </c>
      <c r="F111" s="34">
        <v>0.8</v>
      </c>
      <c r="G111" s="34"/>
      <c r="H111" s="34"/>
      <c r="I111" s="34"/>
      <c r="J111" s="34"/>
      <c r="K111" s="34">
        <f>Tabela467927171[[#This Row],[Estações]]*Tabela467927171[[#This Row],[m/ponto]]*Tabela467927171[[#This Row],[COEF]]</f>
        <v>336</v>
      </c>
    </row>
    <row r="112" spans="2:11" x14ac:dyDescent="0.2">
      <c r="B112" s="24"/>
      <c r="C112" s="25" t="s">
        <v>716</v>
      </c>
      <c r="D112" s="101">
        <v>3</v>
      </c>
      <c r="E112" s="34">
        <v>30</v>
      </c>
      <c r="F112" s="34">
        <v>0.8</v>
      </c>
      <c r="G112" s="101"/>
      <c r="H112" s="101"/>
      <c r="I112" s="101"/>
      <c r="J112" s="101"/>
      <c r="K112" s="101">
        <f>Tabela467927171[[#This Row],[Estações]]*Tabela467927171[[#This Row],[m/ponto]]*Tabela467927171[[#This Row],[COEF]]</f>
        <v>72</v>
      </c>
    </row>
    <row r="113" spans="2:11" x14ac:dyDescent="0.2">
      <c r="B113" s="24"/>
      <c r="C113" s="25" t="s">
        <v>717</v>
      </c>
      <c r="D113" s="101">
        <v>2</v>
      </c>
      <c r="E113" s="34">
        <v>30</v>
      </c>
      <c r="F113" s="34">
        <v>0.8</v>
      </c>
      <c r="G113" s="101"/>
      <c r="H113" s="101"/>
      <c r="I113" s="101"/>
      <c r="J113" s="101"/>
      <c r="K113" s="101">
        <f>Tabela467927171[[#This Row],[Estações]]*Tabela467927171[[#This Row],[m/ponto]]*Tabela467927171[[#This Row],[COEF]]</f>
        <v>48</v>
      </c>
    </row>
    <row r="114" spans="2:11" x14ac:dyDescent="0.2">
      <c r="B114" s="24"/>
      <c r="C114" s="25" t="s">
        <v>718</v>
      </c>
      <c r="D114" s="101">
        <v>2</v>
      </c>
      <c r="E114" s="34">
        <v>30</v>
      </c>
      <c r="F114" s="34">
        <v>0.8</v>
      </c>
      <c r="G114" s="101"/>
      <c r="H114" s="101"/>
      <c r="I114" s="101"/>
      <c r="J114" s="101"/>
      <c r="K114" s="101">
        <f>Tabela467927171[[#This Row],[Estações]]*Tabela467927171[[#This Row],[m/ponto]]*Tabela467927171[[#This Row],[COEF]]</f>
        <v>48</v>
      </c>
    </row>
    <row r="115" spans="2:11" x14ac:dyDescent="0.2">
      <c r="B115" s="24"/>
      <c r="C115" s="25" t="s">
        <v>709</v>
      </c>
      <c r="D115" s="101">
        <v>28</v>
      </c>
      <c r="E115" s="34">
        <v>30</v>
      </c>
      <c r="F115" s="34">
        <v>0.8</v>
      </c>
      <c r="G115" s="101"/>
      <c r="H115" s="101"/>
      <c r="I115" s="101"/>
      <c r="J115" s="101"/>
      <c r="K115" s="101">
        <f>Tabela467927171[[#This Row],[Estações]]*Tabela467927171[[#This Row],[m/ponto]]*Tabela467927171[[#This Row],[COEF]]</f>
        <v>672</v>
      </c>
    </row>
    <row r="116" spans="2:11" x14ac:dyDescent="0.2">
      <c r="B116" s="24"/>
      <c r="C116" s="25" t="s">
        <v>719</v>
      </c>
      <c r="D116" s="101">
        <v>1</v>
      </c>
      <c r="E116" s="34">
        <v>30</v>
      </c>
      <c r="F116" s="34">
        <v>0.8</v>
      </c>
      <c r="G116" s="101"/>
      <c r="H116" s="101"/>
      <c r="I116" s="101"/>
      <c r="J116" s="101"/>
      <c r="K116" s="101">
        <f>Tabela467927171[[#This Row],[Estações]]*Tabela467927171[[#This Row],[m/ponto]]*Tabela467927171[[#This Row],[COEF]]</f>
        <v>24</v>
      </c>
    </row>
    <row r="117" spans="2:11" x14ac:dyDescent="0.2">
      <c r="B117" s="24"/>
      <c r="C117" s="25" t="s">
        <v>720</v>
      </c>
      <c r="D117" s="101">
        <v>1</v>
      </c>
      <c r="E117" s="34">
        <v>30</v>
      </c>
      <c r="F117" s="34">
        <v>0.8</v>
      </c>
      <c r="G117" s="101"/>
      <c r="H117" s="101"/>
      <c r="I117" s="101"/>
      <c r="J117" s="101"/>
      <c r="K117" s="101">
        <f>Tabela467927171[[#This Row],[Estações]]*Tabela467927171[[#This Row],[m/ponto]]*Tabela467927171[[#This Row],[COEF]]</f>
        <v>24</v>
      </c>
    </row>
    <row r="118" spans="2:11" x14ac:dyDescent="0.2">
      <c r="B118" s="24"/>
      <c r="C118" s="25" t="s">
        <v>723</v>
      </c>
      <c r="D118" s="101">
        <v>15</v>
      </c>
      <c r="E118" s="34">
        <v>30</v>
      </c>
      <c r="F118" s="34">
        <v>0.8</v>
      </c>
      <c r="G118" s="101"/>
      <c r="H118" s="101"/>
      <c r="I118" s="101"/>
      <c r="J118" s="101"/>
      <c r="K118" s="101">
        <f>Tabela467927171[[#This Row],[Estações]]*Tabela467927171[[#This Row],[m/ponto]]*Tabela467927171[[#This Row],[COEF]]</f>
        <v>360</v>
      </c>
    </row>
    <row r="119" spans="2:11" x14ac:dyDescent="0.2">
      <c r="B119" s="46" t="s">
        <v>6</v>
      </c>
      <c r="C119" s="47"/>
      <c r="D119" s="47"/>
      <c r="E119" s="47"/>
      <c r="F119" s="47"/>
      <c r="G119" s="47"/>
      <c r="H119" s="47"/>
      <c r="I119" s="47"/>
      <c r="J119" s="47"/>
      <c r="K119" s="48">
        <f>SUBTOTAL(109,Tabela467927171[Total])</f>
        <v>1584</v>
      </c>
    </row>
    <row r="121" spans="2:11" ht="15" x14ac:dyDescent="0.25">
      <c r="B121" s="19" t="s">
        <v>302</v>
      </c>
      <c r="C121" s="155" t="s">
        <v>303</v>
      </c>
      <c r="D121" s="155"/>
      <c r="E121" s="155"/>
      <c r="F121" s="155"/>
      <c r="G121" s="155"/>
      <c r="H121" s="155"/>
      <c r="I121" s="155"/>
      <c r="J121" s="19" t="s">
        <v>243</v>
      </c>
      <c r="K121" s="19" t="s">
        <v>304</v>
      </c>
    </row>
    <row r="122" spans="2:11" ht="15" x14ac:dyDescent="0.2">
      <c r="B122" s="35" t="str">
        <f>MEDIÇÃO!A90</f>
        <v xml:space="preserve"> 7.3 </v>
      </c>
      <c r="C122" s="158" t="str">
        <f>MEDIÇÃO!D90</f>
        <v>CABO DE COBRE FLEXÍVEL ISOLADO, 2,5 MM², ANTI-CHAMA 450/750 V, PARA CIRCUITOS TERMINAIS - FORNECIMENTO E INSTALAÇÃO. AF  12/2015</v>
      </c>
      <c r="D122" s="158"/>
      <c r="E122" s="158"/>
      <c r="F122" s="158"/>
      <c r="G122" s="158"/>
      <c r="H122" s="158"/>
      <c r="I122" s="158"/>
      <c r="J122" s="35" t="str">
        <f>MEDIÇÃO!E90</f>
        <v>M</v>
      </c>
      <c r="K122" s="36">
        <f>Tabela467927172[[#Totals],[Total]]</f>
        <v>300</v>
      </c>
    </row>
    <row r="123" spans="2:11" x14ac:dyDescent="0.2">
      <c r="B123" s="23" t="s">
        <v>0</v>
      </c>
      <c r="C123" s="23" t="s">
        <v>305</v>
      </c>
      <c r="D123" s="23" t="s">
        <v>361</v>
      </c>
      <c r="E123" s="23" t="s">
        <v>362</v>
      </c>
      <c r="F123" s="23" t="s">
        <v>308</v>
      </c>
      <c r="G123" s="23" t="s">
        <v>309</v>
      </c>
      <c r="H123" s="23" t="s">
        <v>310</v>
      </c>
      <c r="I123" s="23" t="s">
        <v>311</v>
      </c>
      <c r="J123" s="23" t="s">
        <v>312</v>
      </c>
      <c r="K123" s="23" t="s">
        <v>6</v>
      </c>
    </row>
    <row r="124" spans="2:11" x14ac:dyDescent="0.2">
      <c r="B124" s="24"/>
      <c r="C124" s="25" t="s">
        <v>725</v>
      </c>
      <c r="D124" s="34">
        <v>10</v>
      </c>
      <c r="E124" s="34">
        <v>30</v>
      </c>
      <c r="F124" s="34"/>
      <c r="G124" s="34"/>
      <c r="H124" s="34"/>
      <c r="I124" s="34"/>
      <c r="J124" s="34"/>
      <c r="K124" s="34">
        <f>Tabela467927172[[#This Row],[Pontos]]*Tabela467927172[[#This Row],[m/ponto]]</f>
        <v>300</v>
      </c>
    </row>
    <row r="125" spans="2:11" x14ac:dyDescent="0.2">
      <c r="B125" s="46" t="s">
        <v>6</v>
      </c>
      <c r="C125" s="47"/>
      <c r="D125" s="47"/>
      <c r="E125" s="47"/>
      <c r="F125" s="47"/>
      <c r="G125" s="47"/>
      <c r="H125" s="47"/>
      <c r="I125" s="47"/>
      <c r="J125" s="47"/>
      <c r="K125" s="48">
        <f>SUBTOTAL(109,Tabela467927172[Total])</f>
        <v>300</v>
      </c>
    </row>
    <row r="127" spans="2:11" ht="15" x14ac:dyDescent="0.25">
      <c r="B127" s="19" t="s">
        <v>302</v>
      </c>
      <c r="C127" s="155" t="s">
        <v>303</v>
      </c>
      <c r="D127" s="155"/>
      <c r="E127" s="155"/>
      <c r="F127" s="155"/>
      <c r="G127" s="155"/>
      <c r="H127" s="155"/>
      <c r="I127" s="155"/>
      <c r="J127" s="19" t="s">
        <v>243</v>
      </c>
      <c r="K127" s="19" t="s">
        <v>304</v>
      </c>
    </row>
    <row r="128" spans="2:11" ht="15" x14ac:dyDescent="0.2">
      <c r="B128" s="35" t="str">
        <f>MEDIÇÃO!A106</f>
        <v xml:space="preserve"> 7.19 </v>
      </c>
      <c r="C128" s="158" t="str">
        <f>MEDIÇÃO!D106</f>
        <v>CABO ELETRÔNICO CATEGORIA 6, INSTALADO EM EDIFICAÇÃO INSTITUCIONAL - FORNECIMENTO E INSTALAÇÃO. AF_11/2019</v>
      </c>
      <c r="D128" s="158"/>
      <c r="E128" s="158"/>
      <c r="F128" s="158"/>
      <c r="G128" s="158"/>
      <c r="H128" s="158"/>
      <c r="I128" s="158"/>
      <c r="J128" s="35" t="str">
        <f>MEDIÇÃO!E106</f>
        <v>M</v>
      </c>
      <c r="K128" s="36">
        <f>Tabela46792717553[[#Totals],[Total]]</f>
        <v>3920</v>
      </c>
    </row>
    <row r="129" spans="2:11" x14ac:dyDescent="0.2">
      <c r="B129" s="23" t="s">
        <v>0</v>
      </c>
      <c r="C129" s="23" t="s">
        <v>305</v>
      </c>
      <c r="D129" s="23" t="s">
        <v>724</v>
      </c>
      <c r="E129" s="23" t="s">
        <v>726</v>
      </c>
      <c r="F129" s="23" t="s">
        <v>362</v>
      </c>
      <c r="G129" s="23" t="s">
        <v>666</v>
      </c>
      <c r="H129" s="23" t="s">
        <v>310</v>
      </c>
      <c r="I129" s="23" t="s">
        <v>311</v>
      </c>
      <c r="J129" s="23" t="s">
        <v>312</v>
      </c>
      <c r="K129" s="23" t="s">
        <v>6</v>
      </c>
    </row>
    <row r="130" spans="2:11" x14ac:dyDescent="0.2">
      <c r="B130" s="24"/>
      <c r="C130" s="25" t="s">
        <v>708</v>
      </c>
      <c r="D130" s="34">
        <v>14</v>
      </c>
      <c r="E130" s="34">
        <v>2</v>
      </c>
      <c r="F130" s="101">
        <v>35</v>
      </c>
      <c r="G130" s="101">
        <v>0.8</v>
      </c>
      <c r="H130" s="34"/>
      <c r="I130" s="34"/>
      <c r="J130" s="34"/>
      <c r="K130" s="34">
        <f>Tabela46792717553[[#This Row],[Estações]]*Tabela46792717553[[#This Row],[Pontos/Estação]]*Tabela46792717553[[#This Row],[m/ponto]]*Tabela46792717553[[#This Row],[COEF]]</f>
        <v>784</v>
      </c>
    </row>
    <row r="131" spans="2:11" x14ac:dyDescent="0.2">
      <c r="B131" s="24"/>
      <c r="C131" s="25" t="s">
        <v>709</v>
      </c>
      <c r="D131" s="101">
        <v>28</v>
      </c>
      <c r="E131" s="101">
        <v>2</v>
      </c>
      <c r="F131" s="101">
        <v>35</v>
      </c>
      <c r="G131" s="101">
        <v>0.8</v>
      </c>
      <c r="H131" s="25"/>
      <c r="I131" s="25"/>
      <c r="J131" s="25"/>
      <c r="K131" s="111">
        <f>Tabela46792717553[[#This Row],[Estações]]*Tabela46792717553[[#This Row],[Pontos/Estação]]*Tabela46792717553[[#This Row],[m/ponto]]*Tabela46792717553[[#This Row],[COEF]]</f>
        <v>1568</v>
      </c>
    </row>
    <row r="132" spans="2:11" x14ac:dyDescent="0.2">
      <c r="B132" s="24"/>
      <c r="C132" s="25" t="s">
        <v>716</v>
      </c>
      <c r="D132" s="101">
        <v>3</v>
      </c>
      <c r="E132" s="101">
        <v>2</v>
      </c>
      <c r="F132" s="101">
        <v>35</v>
      </c>
      <c r="G132" s="101">
        <v>0.8</v>
      </c>
      <c r="H132" s="25"/>
      <c r="I132" s="25"/>
      <c r="J132" s="25"/>
      <c r="K132" s="111">
        <f>Tabela46792717553[[#This Row],[Estações]]*Tabela46792717553[[#This Row],[Pontos/Estação]]*Tabela46792717553[[#This Row],[m/ponto]]*Tabela46792717553[[#This Row],[COEF]]</f>
        <v>168</v>
      </c>
    </row>
    <row r="133" spans="2:11" x14ac:dyDescent="0.2">
      <c r="B133" s="24"/>
      <c r="C133" s="25" t="s">
        <v>717</v>
      </c>
      <c r="D133" s="101">
        <v>2</v>
      </c>
      <c r="E133" s="101">
        <v>2</v>
      </c>
      <c r="F133" s="101">
        <v>35</v>
      </c>
      <c r="G133" s="101">
        <v>0.8</v>
      </c>
      <c r="H133" s="25"/>
      <c r="I133" s="25"/>
      <c r="J133" s="25"/>
      <c r="K133" s="111">
        <f>Tabela46792717553[[#This Row],[Estações]]*Tabela46792717553[[#This Row],[Pontos/Estação]]*Tabela46792717553[[#This Row],[m/ponto]]*Tabela46792717553[[#This Row],[COEF]]</f>
        <v>112</v>
      </c>
    </row>
    <row r="134" spans="2:11" x14ac:dyDescent="0.2">
      <c r="B134" s="24"/>
      <c r="C134" s="25" t="s">
        <v>721</v>
      </c>
      <c r="D134" s="101">
        <v>2</v>
      </c>
      <c r="E134" s="101">
        <v>1</v>
      </c>
      <c r="F134" s="101">
        <v>35</v>
      </c>
      <c r="G134" s="101">
        <v>0.8</v>
      </c>
      <c r="H134" s="25"/>
      <c r="I134" s="25"/>
      <c r="J134" s="25"/>
      <c r="K134" s="111">
        <f>Tabela46792717553[[#This Row],[Estações]]*Tabela46792717553[[#This Row],[Pontos/Estação]]*Tabela46792717553[[#This Row],[m/ponto]]*Tabela46792717553[[#This Row],[COEF]]</f>
        <v>56</v>
      </c>
    </row>
    <row r="135" spans="2:11" x14ac:dyDescent="0.2">
      <c r="B135" s="24"/>
      <c r="C135" s="25" t="s">
        <v>719</v>
      </c>
      <c r="D135" s="101">
        <v>2</v>
      </c>
      <c r="E135" s="101">
        <v>2</v>
      </c>
      <c r="F135" s="101">
        <v>35</v>
      </c>
      <c r="G135" s="101">
        <v>0.8</v>
      </c>
      <c r="H135" s="25"/>
      <c r="I135" s="25"/>
      <c r="J135" s="25"/>
      <c r="K135" s="111">
        <f>Tabela46792717553[[#This Row],[Estações]]*Tabela46792717553[[#This Row],[Pontos/Estação]]*Tabela46792717553[[#This Row],[m/ponto]]*Tabela46792717553[[#This Row],[COEF]]</f>
        <v>112</v>
      </c>
    </row>
    <row r="136" spans="2:11" x14ac:dyDescent="0.2">
      <c r="B136" s="24"/>
      <c r="C136" s="25" t="s">
        <v>720</v>
      </c>
      <c r="D136" s="101">
        <v>2</v>
      </c>
      <c r="E136" s="101">
        <v>2</v>
      </c>
      <c r="F136" s="101">
        <v>35</v>
      </c>
      <c r="G136" s="101">
        <v>0.8</v>
      </c>
      <c r="H136" s="25"/>
      <c r="I136" s="25"/>
      <c r="J136" s="25"/>
      <c r="K136" s="111">
        <f>Tabela46792717553[[#This Row],[Estações]]*Tabela46792717553[[#This Row],[Pontos/Estação]]*Tabela46792717553[[#This Row],[m/ponto]]*Tabela46792717553[[#This Row],[COEF]]</f>
        <v>112</v>
      </c>
    </row>
    <row r="137" spans="2:11" x14ac:dyDescent="0.2">
      <c r="B137" s="24"/>
      <c r="C137" s="25" t="s">
        <v>707</v>
      </c>
      <c r="D137" s="101">
        <v>18</v>
      </c>
      <c r="E137" s="101">
        <v>2</v>
      </c>
      <c r="F137" s="101">
        <v>35</v>
      </c>
      <c r="G137" s="101">
        <v>0.8</v>
      </c>
      <c r="H137" s="25"/>
      <c r="I137" s="25"/>
      <c r="J137" s="25"/>
      <c r="K137" s="111">
        <f>Tabela46792717553[[#This Row],[Estações]]*Tabela46792717553[[#This Row],[Pontos/Estação]]*Tabela46792717553[[#This Row],[m/ponto]]*Tabela46792717553[[#This Row],[COEF]]</f>
        <v>1008</v>
      </c>
    </row>
    <row r="138" spans="2:11" x14ac:dyDescent="0.2">
      <c r="B138" s="46" t="s">
        <v>6</v>
      </c>
      <c r="C138" s="47"/>
      <c r="D138" s="47"/>
      <c r="E138" s="47"/>
      <c r="F138" s="47"/>
      <c r="G138" s="47"/>
      <c r="H138" s="47"/>
      <c r="I138" s="47"/>
      <c r="J138" s="47"/>
      <c r="K138" s="48">
        <f>SUBTOTAL(109,Tabela46792717553[Total])</f>
        <v>3920</v>
      </c>
    </row>
    <row r="140" spans="2:11" ht="15" x14ac:dyDescent="0.25">
      <c r="B140" s="19" t="s">
        <v>302</v>
      </c>
      <c r="C140" s="155" t="s">
        <v>303</v>
      </c>
      <c r="D140" s="155"/>
      <c r="E140" s="155"/>
      <c r="F140" s="155"/>
      <c r="G140" s="155"/>
      <c r="H140" s="155"/>
      <c r="I140" s="155"/>
      <c r="J140" s="19" t="s">
        <v>243</v>
      </c>
      <c r="K140" s="19" t="s">
        <v>304</v>
      </c>
    </row>
    <row r="141" spans="2:11" ht="15" x14ac:dyDescent="0.2">
      <c r="B141" s="35" t="str">
        <f>MEDIÇÃO!A109</f>
        <v xml:space="preserve"> 7.22 </v>
      </c>
      <c r="C141" s="158" t="str">
        <f>MEDIÇÃO!D109</f>
        <v>TOMADA DUPLA DE SOBREPOR 10A</v>
      </c>
      <c r="D141" s="158"/>
      <c r="E141" s="158"/>
      <c r="F141" s="158"/>
      <c r="G141" s="158"/>
      <c r="H141" s="158"/>
      <c r="I141" s="158"/>
      <c r="J141" s="35" t="str">
        <f>MEDIÇÃO!E109</f>
        <v>UN</v>
      </c>
      <c r="K141" s="36">
        <f>Tabela467927175[[#Totals],[Total]]</f>
        <v>36</v>
      </c>
    </row>
    <row r="142" spans="2:11" x14ac:dyDescent="0.2">
      <c r="B142" s="23" t="s">
        <v>0</v>
      </c>
      <c r="C142" s="23" t="s">
        <v>305</v>
      </c>
      <c r="D142" s="23" t="s">
        <v>724</v>
      </c>
      <c r="E142" s="23" t="s">
        <v>726</v>
      </c>
      <c r="F142" s="23" t="s">
        <v>308</v>
      </c>
      <c r="G142" s="23" t="s">
        <v>309</v>
      </c>
      <c r="H142" s="23" t="s">
        <v>310</v>
      </c>
      <c r="I142" s="23" t="s">
        <v>311</v>
      </c>
      <c r="J142" s="23" t="s">
        <v>312</v>
      </c>
      <c r="K142" s="23" t="s">
        <v>6</v>
      </c>
    </row>
    <row r="143" spans="2:11" x14ac:dyDescent="0.2">
      <c r="B143" s="24"/>
      <c r="C143" s="25" t="s">
        <v>727</v>
      </c>
      <c r="D143" s="34">
        <v>6</v>
      </c>
      <c r="E143" s="34">
        <v>2</v>
      </c>
      <c r="F143" s="34"/>
      <c r="G143" s="34"/>
      <c r="H143" s="34"/>
      <c r="I143" s="34"/>
      <c r="J143" s="34"/>
      <c r="K143" s="34">
        <f>Tabela467927175[[#This Row],[Estações]]*Tabela467927175[[#This Row],[Pontos/Estação]]</f>
        <v>12</v>
      </c>
    </row>
    <row r="144" spans="2:11" x14ac:dyDescent="0.2">
      <c r="B144" s="24"/>
      <c r="C144" s="25" t="s">
        <v>728</v>
      </c>
      <c r="D144" s="101">
        <v>2</v>
      </c>
      <c r="E144" s="101">
        <v>2</v>
      </c>
      <c r="F144" s="25"/>
      <c r="G144" s="25"/>
      <c r="H144" s="25"/>
      <c r="I144" s="25"/>
      <c r="J144" s="25"/>
      <c r="K144" s="111">
        <f>Tabela467927175[[#This Row],[Estações]]*Tabela467927175[[#This Row],[Pontos/Estação]]</f>
        <v>4</v>
      </c>
    </row>
    <row r="145" spans="2:11" x14ac:dyDescent="0.2">
      <c r="B145" s="24"/>
      <c r="C145" s="25" t="s">
        <v>716</v>
      </c>
      <c r="D145" s="101">
        <v>3</v>
      </c>
      <c r="E145" s="101">
        <v>2</v>
      </c>
      <c r="F145" s="25"/>
      <c r="G145" s="25"/>
      <c r="H145" s="25"/>
      <c r="I145" s="25"/>
      <c r="J145" s="25"/>
      <c r="K145" s="111">
        <f>Tabela467927175[[#This Row],[Estações]]*Tabela467927175[[#This Row],[Pontos/Estação]]</f>
        <v>6</v>
      </c>
    </row>
    <row r="146" spans="2:11" x14ac:dyDescent="0.2">
      <c r="B146" s="24"/>
      <c r="C146" s="25" t="s">
        <v>730</v>
      </c>
      <c r="D146" s="101">
        <v>2</v>
      </c>
      <c r="E146" s="101">
        <v>2</v>
      </c>
      <c r="F146" s="25"/>
      <c r="G146" s="25"/>
      <c r="H146" s="25"/>
      <c r="I146" s="25"/>
      <c r="J146" s="25"/>
      <c r="K146" s="111">
        <f>Tabela467927175[[#This Row],[Estações]]*Tabela467927175[[#This Row],[Pontos/Estação]]</f>
        <v>4</v>
      </c>
    </row>
    <row r="147" spans="2:11" x14ac:dyDescent="0.2">
      <c r="B147" s="24"/>
      <c r="C147" s="25" t="s">
        <v>729</v>
      </c>
      <c r="D147" s="101">
        <v>2</v>
      </c>
      <c r="E147" s="101">
        <v>1</v>
      </c>
      <c r="F147" s="25"/>
      <c r="G147" s="25"/>
      <c r="H147" s="25"/>
      <c r="I147" s="25"/>
      <c r="J147" s="25"/>
      <c r="K147" s="111">
        <f>Tabela467927175[[#This Row],[Estações]]*Tabela467927175[[#This Row],[Pontos/Estação]]</f>
        <v>2</v>
      </c>
    </row>
    <row r="148" spans="2:11" x14ac:dyDescent="0.2">
      <c r="B148" s="24"/>
      <c r="C148" s="25" t="s">
        <v>719</v>
      </c>
      <c r="D148" s="101">
        <v>2</v>
      </c>
      <c r="E148" s="101">
        <v>2</v>
      </c>
      <c r="F148" s="25"/>
      <c r="G148" s="25"/>
      <c r="H148" s="25"/>
      <c r="I148" s="25"/>
      <c r="J148" s="25"/>
      <c r="K148" s="111">
        <f>Tabela467927175[[#This Row],[Estações]]*Tabela467927175[[#This Row],[Pontos/Estação]]</f>
        <v>4</v>
      </c>
    </row>
    <row r="149" spans="2:11" x14ac:dyDescent="0.2">
      <c r="B149" s="24"/>
      <c r="C149" s="25" t="s">
        <v>720</v>
      </c>
      <c r="D149" s="101">
        <v>2</v>
      </c>
      <c r="E149" s="101">
        <v>2</v>
      </c>
      <c r="F149" s="25"/>
      <c r="G149" s="25"/>
      <c r="H149" s="25"/>
      <c r="I149" s="25"/>
      <c r="J149" s="25"/>
      <c r="K149" s="111">
        <f>Tabela467927175[[#This Row],[Estações]]*Tabela467927175[[#This Row],[Pontos/Estação]]</f>
        <v>4</v>
      </c>
    </row>
    <row r="150" spans="2:11" x14ac:dyDescent="0.2">
      <c r="B150" s="46" t="s">
        <v>6</v>
      </c>
      <c r="C150" s="47"/>
      <c r="D150" s="47"/>
      <c r="E150" s="47"/>
      <c r="F150" s="47"/>
      <c r="G150" s="47"/>
      <c r="H150" s="47"/>
      <c r="I150" s="47"/>
      <c r="J150" s="47"/>
      <c r="K150" s="48">
        <f>SUBTOTAL(109,Tabela467927175[Total])</f>
        <v>36</v>
      </c>
    </row>
    <row r="152" spans="2:11" ht="15" x14ac:dyDescent="0.25">
      <c r="B152" s="19" t="s">
        <v>302</v>
      </c>
      <c r="C152" s="155" t="s">
        <v>303</v>
      </c>
      <c r="D152" s="155"/>
      <c r="E152" s="155"/>
      <c r="F152" s="155"/>
      <c r="G152" s="155"/>
      <c r="H152" s="155"/>
      <c r="I152" s="155"/>
      <c r="J152" s="19" t="s">
        <v>243</v>
      </c>
      <c r="K152" s="19" t="s">
        <v>304</v>
      </c>
    </row>
    <row r="153" spans="2:11" ht="15" x14ac:dyDescent="0.2">
      <c r="B153" s="35" t="str">
        <f>MEDIÇÃO!A110</f>
        <v xml:space="preserve"> 7.23 </v>
      </c>
      <c r="C153" s="158" t="str">
        <f>MEDIÇÃO!D110</f>
        <v>TOMADA DUPLA DE SOBREPOR 20A</v>
      </c>
      <c r="D153" s="158"/>
      <c r="E153" s="158"/>
      <c r="F153" s="158"/>
      <c r="G153" s="158"/>
      <c r="H153" s="158"/>
      <c r="I153" s="158"/>
      <c r="J153" s="35" t="str">
        <f>MEDIÇÃO!E110</f>
        <v>UN</v>
      </c>
      <c r="K153" s="36">
        <f>Tabela467927176[[#Totals],[Total]]</f>
        <v>3</v>
      </c>
    </row>
    <row r="154" spans="2:11" x14ac:dyDescent="0.2">
      <c r="B154" s="23" t="s">
        <v>0</v>
      </c>
      <c r="C154" s="23" t="s">
        <v>305</v>
      </c>
      <c r="D154" s="23" t="s">
        <v>361</v>
      </c>
      <c r="E154" s="23" t="s">
        <v>307</v>
      </c>
      <c r="F154" s="23" t="s">
        <v>308</v>
      </c>
      <c r="G154" s="23" t="s">
        <v>309</v>
      </c>
      <c r="H154" s="23" t="s">
        <v>310</v>
      </c>
      <c r="I154" s="23" t="s">
        <v>311</v>
      </c>
      <c r="J154" s="23" t="s">
        <v>312</v>
      </c>
      <c r="K154" s="23" t="s">
        <v>6</v>
      </c>
    </row>
    <row r="155" spans="2:11" x14ac:dyDescent="0.2">
      <c r="B155" s="24"/>
      <c r="C155" s="25" t="s">
        <v>718</v>
      </c>
      <c r="D155" s="34">
        <v>3</v>
      </c>
      <c r="E155" s="34"/>
      <c r="F155" s="34"/>
      <c r="G155" s="34"/>
      <c r="H155" s="34"/>
      <c r="I155" s="34"/>
      <c r="J155" s="34"/>
      <c r="K155" s="34">
        <f>D155</f>
        <v>3</v>
      </c>
    </row>
    <row r="156" spans="2:11" x14ac:dyDescent="0.2">
      <c r="B156" s="46" t="s">
        <v>6</v>
      </c>
      <c r="C156" s="47"/>
      <c r="D156" s="47"/>
      <c r="E156" s="47"/>
      <c r="F156" s="47"/>
      <c r="G156" s="47"/>
      <c r="H156" s="47"/>
      <c r="I156" s="47"/>
      <c r="J156" s="47"/>
      <c r="K156" s="48">
        <f>SUBTOTAL(109,Tabela467927176[Total])</f>
        <v>3</v>
      </c>
    </row>
    <row r="158" spans="2:11" ht="15" x14ac:dyDescent="0.25">
      <c r="B158" s="19" t="s">
        <v>302</v>
      </c>
      <c r="C158" s="155" t="s">
        <v>303</v>
      </c>
      <c r="D158" s="155"/>
      <c r="E158" s="155"/>
      <c r="F158" s="155"/>
      <c r="G158" s="155"/>
      <c r="H158" s="155"/>
      <c r="I158" s="155"/>
      <c r="J158" s="19" t="s">
        <v>243</v>
      </c>
      <c r="K158" s="19" t="s">
        <v>304</v>
      </c>
    </row>
    <row r="159" spans="2:11" ht="15" x14ac:dyDescent="0.2">
      <c r="B159" s="35" t="str">
        <f>MEDIÇÃO!A111</f>
        <v xml:space="preserve"> 7.24 </v>
      </c>
      <c r="C159" s="158" t="str">
        <f>MEDIÇÃO!D111</f>
        <v>INTERRUPTOR DUPLO DE SOPREPOR</v>
      </c>
      <c r="D159" s="158"/>
      <c r="E159" s="158"/>
      <c r="F159" s="158"/>
      <c r="G159" s="158"/>
      <c r="H159" s="158"/>
      <c r="I159" s="158"/>
      <c r="J159" s="35" t="str">
        <f>MEDIÇÃO!E111</f>
        <v>UN</v>
      </c>
      <c r="K159" s="36">
        <f>Tabela467927177[[#Totals],[Total]]</f>
        <v>4</v>
      </c>
    </row>
    <row r="160" spans="2:11" x14ac:dyDescent="0.2">
      <c r="B160" s="23" t="s">
        <v>0</v>
      </c>
      <c r="C160" s="23" t="s">
        <v>305</v>
      </c>
      <c r="D160" s="23" t="s">
        <v>450</v>
      </c>
      <c r="E160" s="23" t="s">
        <v>307</v>
      </c>
      <c r="F160" s="23" t="s">
        <v>308</v>
      </c>
      <c r="G160" s="23" t="s">
        <v>309</v>
      </c>
      <c r="H160" s="23" t="s">
        <v>310</v>
      </c>
      <c r="I160" s="23" t="s">
        <v>311</v>
      </c>
      <c r="J160" s="23" t="s">
        <v>312</v>
      </c>
      <c r="K160" s="23" t="s">
        <v>6</v>
      </c>
    </row>
    <row r="161" spans="2:11" x14ac:dyDescent="0.2">
      <c r="B161" s="24"/>
      <c r="C161" s="25" t="s">
        <v>602</v>
      </c>
      <c r="D161" s="101">
        <v>2</v>
      </c>
      <c r="E161" s="101"/>
      <c r="F161" s="101"/>
      <c r="G161" s="101"/>
      <c r="H161" s="101"/>
      <c r="I161" s="101"/>
      <c r="J161" s="101"/>
      <c r="K161" s="101">
        <f>D161</f>
        <v>2</v>
      </c>
    </row>
    <row r="162" spans="2:11" x14ac:dyDescent="0.2">
      <c r="B162" s="24"/>
      <c r="C162" s="25" t="s">
        <v>603</v>
      </c>
      <c r="D162" s="101">
        <v>2</v>
      </c>
      <c r="E162" s="101"/>
      <c r="F162" s="101"/>
      <c r="G162" s="101"/>
      <c r="H162" s="101"/>
      <c r="I162" s="101"/>
      <c r="J162" s="101"/>
      <c r="K162" s="101">
        <f>D162</f>
        <v>2</v>
      </c>
    </row>
    <row r="163" spans="2:11" x14ac:dyDescent="0.2">
      <c r="B163" s="46" t="s">
        <v>6</v>
      </c>
      <c r="C163" s="47"/>
      <c r="D163" s="47"/>
      <c r="E163" s="47"/>
      <c r="F163" s="47"/>
      <c r="G163" s="47"/>
      <c r="H163" s="47"/>
      <c r="I163" s="47"/>
      <c r="J163" s="47"/>
      <c r="K163" s="48">
        <f>SUBTOTAL(109,Tabela467927177[Total])</f>
        <v>4</v>
      </c>
    </row>
    <row r="165" spans="2:11" ht="15" x14ac:dyDescent="0.25">
      <c r="B165" s="19" t="s">
        <v>302</v>
      </c>
      <c r="C165" s="155" t="s">
        <v>303</v>
      </c>
      <c r="D165" s="155"/>
      <c r="E165" s="155"/>
      <c r="F165" s="155"/>
      <c r="G165" s="155"/>
      <c r="H165" s="155"/>
      <c r="I165" s="155"/>
      <c r="J165" s="19" t="s">
        <v>243</v>
      </c>
      <c r="K165" s="19" t="s">
        <v>304</v>
      </c>
    </row>
    <row r="166" spans="2:11" ht="15" x14ac:dyDescent="0.2">
      <c r="B166" s="35" t="str">
        <f>MEDIÇÃO!A112</f>
        <v xml:space="preserve"> 7.25 </v>
      </c>
      <c r="C166" s="158" t="str">
        <f>MEDIÇÃO!D112</f>
        <v>INTERRUPTOR SIMPLES DE SOBREPOR</v>
      </c>
      <c r="D166" s="158"/>
      <c r="E166" s="158"/>
      <c r="F166" s="158"/>
      <c r="G166" s="158"/>
      <c r="H166" s="158"/>
      <c r="I166" s="158"/>
      <c r="J166" s="35" t="str">
        <f>MEDIÇÃO!E108</f>
        <v>UN</v>
      </c>
      <c r="K166" s="36">
        <f>Tabela46792717731[[#Totals],[Total]]</f>
        <v>6</v>
      </c>
    </row>
    <row r="167" spans="2:11" x14ac:dyDescent="0.2">
      <c r="B167" s="23" t="s">
        <v>0</v>
      </c>
      <c r="C167" s="23" t="s">
        <v>305</v>
      </c>
      <c r="D167" s="23" t="s">
        <v>450</v>
      </c>
      <c r="E167" s="23" t="s">
        <v>307</v>
      </c>
      <c r="F167" s="23" t="s">
        <v>308</v>
      </c>
      <c r="G167" s="23" t="s">
        <v>309</v>
      </c>
      <c r="H167" s="23" t="s">
        <v>310</v>
      </c>
      <c r="I167" s="23" t="s">
        <v>311</v>
      </c>
      <c r="J167" s="23" t="s">
        <v>312</v>
      </c>
      <c r="K167" s="23" t="s">
        <v>6</v>
      </c>
    </row>
    <row r="168" spans="2:11" x14ac:dyDescent="0.2">
      <c r="B168" s="24"/>
      <c r="C168" s="25" t="s">
        <v>577</v>
      </c>
      <c r="D168" s="101">
        <v>1</v>
      </c>
      <c r="E168" s="34"/>
      <c r="F168" s="34"/>
      <c r="G168" s="34"/>
      <c r="H168" s="34"/>
      <c r="I168" s="34"/>
      <c r="J168" s="34"/>
      <c r="K168" s="34">
        <f>Tabela46792717731[[#This Row],[Unidades]]</f>
        <v>1</v>
      </c>
    </row>
    <row r="169" spans="2:11" x14ac:dyDescent="0.2">
      <c r="B169" s="24"/>
      <c r="C169" s="25" t="s">
        <v>578</v>
      </c>
      <c r="D169" s="101">
        <v>1</v>
      </c>
      <c r="E169" s="25"/>
      <c r="F169" s="25"/>
      <c r="G169" s="25"/>
      <c r="H169" s="25"/>
      <c r="I169" s="25"/>
      <c r="J169" s="25"/>
      <c r="K169" s="111">
        <f>Tabela46792717731[[#This Row],[Unidades]]</f>
        <v>1</v>
      </c>
    </row>
    <row r="170" spans="2:11" x14ac:dyDescent="0.2">
      <c r="B170" s="24"/>
      <c r="C170" s="25" t="s">
        <v>579</v>
      </c>
      <c r="D170" s="101">
        <v>1</v>
      </c>
      <c r="E170" s="25"/>
      <c r="F170" s="25"/>
      <c r="G170" s="25"/>
      <c r="H170" s="25"/>
      <c r="I170" s="25"/>
      <c r="J170" s="25"/>
      <c r="K170" s="111">
        <f>Tabela46792717731[[#This Row],[Unidades]]</f>
        <v>1</v>
      </c>
    </row>
    <row r="171" spans="2:11" x14ac:dyDescent="0.2">
      <c r="B171" s="24"/>
      <c r="C171" s="25" t="s">
        <v>601</v>
      </c>
      <c r="D171" s="101">
        <v>1</v>
      </c>
      <c r="E171" s="25"/>
      <c r="F171" s="25"/>
      <c r="G171" s="25"/>
      <c r="H171" s="25"/>
      <c r="I171" s="25"/>
      <c r="J171" s="25"/>
      <c r="K171" s="111">
        <f>Tabela46792717731[[#This Row],[Unidades]]</f>
        <v>1</v>
      </c>
    </row>
    <row r="172" spans="2:11" x14ac:dyDescent="0.2">
      <c r="B172" s="24"/>
      <c r="C172" s="25" t="s">
        <v>574</v>
      </c>
      <c r="D172" s="101">
        <v>1</v>
      </c>
      <c r="E172" s="25"/>
      <c r="F172" s="25"/>
      <c r="G172" s="25"/>
      <c r="H172" s="25"/>
      <c r="I172" s="25"/>
      <c r="J172" s="25"/>
      <c r="K172" s="111">
        <f>Tabela46792717731[[#This Row],[Unidades]]</f>
        <v>1</v>
      </c>
    </row>
    <row r="173" spans="2:11" x14ac:dyDescent="0.2">
      <c r="B173" s="24"/>
      <c r="C173" s="25" t="s">
        <v>575</v>
      </c>
      <c r="D173" s="101">
        <v>1</v>
      </c>
      <c r="E173" s="25"/>
      <c r="F173" s="25"/>
      <c r="G173" s="25"/>
      <c r="H173" s="25"/>
      <c r="I173" s="25"/>
      <c r="J173" s="25"/>
      <c r="K173" s="111">
        <f>Tabela46792717731[[#This Row],[Unidades]]</f>
        <v>1</v>
      </c>
    </row>
    <row r="174" spans="2:11" x14ac:dyDescent="0.2">
      <c r="B174" s="46" t="s">
        <v>6</v>
      </c>
      <c r="C174" s="47"/>
      <c r="D174" s="47"/>
      <c r="E174" s="47"/>
      <c r="F174" s="47"/>
      <c r="G174" s="47"/>
      <c r="H174" s="47"/>
      <c r="I174" s="47"/>
      <c r="J174" s="47"/>
      <c r="K174" s="48">
        <f>SUBTOTAL(109,Tabela46792717731[Total])</f>
        <v>6</v>
      </c>
    </row>
    <row r="176" spans="2:11" ht="15" x14ac:dyDescent="0.25">
      <c r="B176" s="19" t="s">
        <v>302</v>
      </c>
      <c r="C176" s="162" t="s">
        <v>303</v>
      </c>
      <c r="D176" s="163"/>
      <c r="E176" s="163"/>
      <c r="F176" s="163"/>
      <c r="G176" s="163"/>
      <c r="H176" s="163"/>
      <c r="I176" s="164"/>
      <c r="J176" s="19" t="s">
        <v>243</v>
      </c>
      <c r="K176" s="19" t="s">
        <v>304</v>
      </c>
    </row>
    <row r="177" spans="2:11" ht="15" x14ac:dyDescent="0.2">
      <c r="B177" s="105" t="str">
        <f>MEDIÇÃO!A113</f>
        <v xml:space="preserve"> 7.26 </v>
      </c>
      <c r="C177" s="165" t="str">
        <f>MEDIÇÃO!D113</f>
        <v>REMOÇÃO DE CABO DE LÓGICA</v>
      </c>
      <c r="D177" s="166"/>
      <c r="E177" s="166"/>
      <c r="F177" s="166"/>
      <c r="G177" s="166"/>
      <c r="H177" s="166"/>
      <c r="I177" s="167"/>
      <c r="J177" s="105" t="str">
        <f>MEDIÇÃO!E113</f>
        <v>M</v>
      </c>
      <c r="K177" s="33">
        <f>Tabela46792717731386364[[#Totals],[Total]]</f>
        <v>0</v>
      </c>
    </row>
    <row r="178" spans="2:11" x14ac:dyDescent="0.2">
      <c r="B178" s="23" t="s">
        <v>0</v>
      </c>
      <c r="C178" s="23" t="s">
        <v>305</v>
      </c>
      <c r="D178" s="23" t="s">
        <v>450</v>
      </c>
      <c r="E178" s="23" t="s">
        <v>362</v>
      </c>
      <c r="F178" s="23" t="s">
        <v>308</v>
      </c>
      <c r="G178" s="23" t="s">
        <v>309</v>
      </c>
      <c r="H178" s="23" t="s">
        <v>310</v>
      </c>
      <c r="I178" s="23" t="s">
        <v>311</v>
      </c>
      <c r="J178" s="23" t="s">
        <v>312</v>
      </c>
      <c r="K178" s="23" t="s">
        <v>6</v>
      </c>
    </row>
    <row r="179" spans="2:11" x14ac:dyDescent="0.2">
      <c r="B179" s="108"/>
      <c r="C179" s="109" t="s">
        <v>706</v>
      </c>
      <c r="D179" s="110">
        <v>38</v>
      </c>
      <c r="E179" s="110">
        <v>35</v>
      </c>
      <c r="F179" s="110"/>
      <c r="G179" s="110"/>
      <c r="H179" s="110"/>
      <c r="I179" s="110"/>
      <c r="J179" s="110"/>
      <c r="K179" s="110"/>
    </row>
    <row r="180" spans="2:11" x14ac:dyDescent="0.2">
      <c r="B180" s="46" t="s">
        <v>6</v>
      </c>
      <c r="C180" s="47"/>
      <c r="D180" s="47"/>
      <c r="E180" s="47"/>
      <c r="F180" s="47"/>
      <c r="G180" s="47"/>
      <c r="H180" s="47"/>
      <c r="I180" s="47"/>
      <c r="J180" s="47"/>
      <c r="K180" s="48">
        <f>SUBTOTAL(109,Tabela46792717731386364[Total])</f>
        <v>0</v>
      </c>
    </row>
    <row r="182" spans="2:11" ht="15" x14ac:dyDescent="0.25">
      <c r="B182" s="19" t="s">
        <v>302</v>
      </c>
      <c r="C182" s="155" t="s">
        <v>303</v>
      </c>
      <c r="D182" s="155"/>
      <c r="E182" s="155"/>
      <c r="F182" s="155"/>
      <c r="G182" s="155"/>
      <c r="H182" s="155"/>
      <c r="I182" s="155"/>
      <c r="J182" s="19" t="s">
        <v>243</v>
      </c>
      <c r="K182" s="19" t="s">
        <v>304</v>
      </c>
    </row>
    <row r="183" spans="2:11" ht="15" x14ac:dyDescent="0.2">
      <c r="B183" s="105" t="str">
        <f>MEDIÇÃO!A114</f>
        <v xml:space="preserve"> 7.27 </v>
      </c>
      <c r="C183" s="161" t="str">
        <f>MEDIÇÃO!D114</f>
        <v>REMOÇÃO DE TOMADA DE LÓGICA</v>
      </c>
      <c r="D183" s="161"/>
      <c r="E183" s="161"/>
      <c r="F183" s="161"/>
      <c r="G183" s="161"/>
      <c r="H183" s="161"/>
      <c r="I183" s="161"/>
      <c r="J183" s="105" t="str">
        <f>MEDIÇÃO!E114</f>
        <v>UN</v>
      </c>
      <c r="K183" s="33">
        <f>Tabela467927177313863[[#Totals],[Total]]</f>
        <v>0</v>
      </c>
    </row>
    <row r="184" spans="2:11" x14ac:dyDescent="0.2">
      <c r="B184" s="23" t="s">
        <v>0</v>
      </c>
      <c r="C184" s="23" t="s">
        <v>305</v>
      </c>
      <c r="D184" s="23" t="s">
        <v>450</v>
      </c>
      <c r="E184" s="23" t="s">
        <v>307</v>
      </c>
      <c r="F184" s="23" t="s">
        <v>308</v>
      </c>
      <c r="G184" s="23" t="s">
        <v>309</v>
      </c>
      <c r="H184" s="23" t="s">
        <v>310</v>
      </c>
      <c r="I184" s="23" t="s">
        <v>311</v>
      </c>
      <c r="J184" s="23" t="s">
        <v>312</v>
      </c>
      <c r="K184" s="23" t="s">
        <v>6</v>
      </c>
    </row>
    <row r="185" spans="2:11" x14ac:dyDescent="0.2">
      <c r="B185" s="108"/>
      <c r="C185" s="109" t="s">
        <v>706</v>
      </c>
      <c r="D185" s="110">
        <v>40</v>
      </c>
      <c r="E185" s="110"/>
      <c r="F185" s="110"/>
      <c r="G185" s="110"/>
      <c r="H185" s="110"/>
      <c r="I185" s="110"/>
      <c r="J185" s="110"/>
      <c r="K185" s="110"/>
    </row>
    <row r="186" spans="2:11" x14ac:dyDescent="0.2">
      <c r="B186" s="133"/>
      <c r="C186" s="134" t="s">
        <v>707</v>
      </c>
      <c r="D186" s="135">
        <v>10</v>
      </c>
      <c r="E186" s="135"/>
      <c r="F186" s="134"/>
      <c r="G186" s="134"/>
      <c r="H186" s="134"/>
      <c r="I186" s="134"/>
      <c r="J186" s="134"/>
      <c r="K186" s="110"/>
    </row>
    <row r="187" spans="2:11" x14ac:dyDescent="0.2">
      <c r="B187" s="46" t="s">
        <v>6</v>
      </c>
      <c r="C187" s="47"/>
      <c r="D187" s="47"/>
      <c r="E187" s="47"/>
      <c r="F187" s="47"/>
      <c r="G187" s="47"/>
      <c r="H187" s="47"/>
      <c r="I187" s="47"/>
      <c r="J187" s="47"/>
      <c r="K187" s="48">
        <f>SUBTOTAL(109,Tabela467927177313863[Total])</f>
        <v>0</v>
      </c>
    </row>
    <row r="189" spans="2:11" ht="15" x14ac:dyDescent="0.25">
      <c r="B189" s="19" t="s">
        <v>302</v>
      </c>
      <c r="C189" s="155" t="s">
        <v>303</v>
      </c>
      <c r="D189" s="155"/>
      <c r="E189" s="155"/>
      <c r="F189" s="155"/>
      <c r="G189" s="155"/>
      <c r="H189" s="155"/>
      <c r="I189" s="155"/>
      <c r="J189" s="19" t="s">
        <v>243</v>
      </c>
      <c r="K189" s="19" t="s">
        <v>304</v>
      </c>
    </row>
    <row r="190" spans="2:11" ht="15" x14ac:dyDescent="0.2">
      <c r="B190" s="49" t="str">
        <f>MEDIÇÃO!A124</f>
        <v xml:space="preserve"> 7.37</v>
      </c>
      <c r="C190" s="160" t="str">
        <f>MEDIÇÃO!D124</f>
        <v>REMOÇÃO E REINSTALAÇÃO DE LUMINÁRIAS COM APROVEITAMENTO DE MATERIAL</v>
      </c>
      <c r="D190" s="160"/>
      <c r="E190" s="160"/>
      <c r="F190" s="160"/>
      <c r="G190" s="160"/>
      <c r="H190" s="160"/>
      <c r="I190" s="160"/>
      <c r="J190" s="49" t="str">
        <f>MEDIÇÃO!E124</f>
        <v>UND</v>
      </c>
      <c r="K190" s="50">
        <f>Tabela4679271773138[[#Totals],[Total]]</f>
        <v>30</v>
      </c>
    </row>
    <row r="191" spans="2:11" x14ac:dyDescent="0.2">
      <c r="B191" s="23" t="s">
        <v>0</v>
      </c>
      <c r="C191" s="23" t="s">
        <v>305</v>
      </c>
      <c r="D191" s="23" t="s">
        <v>450</v>
      </c>
      <c r="E191" s="23" t="s">
        <v>307</v>
      </c>
      <c r="F191" s="23" t="s">
        <v>308</v>
      </c>
      <c r="G191" s="23" t="s">
        <v>309</v>
      </c>
      <c r="H191" s="23" t="s">
        <v>310</v>
      </c>
      <c r="I191" s="23" t="s">
        <v>311</v>
      </c>
      <c r="J191" s="23" t="s">
        <v>312</v>
      </c>
      <c r="K191" s="23" t="s">
        <v>6</v>
      </c>
    </row>
    <row r="192" spans="2:11" x14ac:dyDescent="0.2">
      <c r="B192" s="24"/>
      <c r="C192" s="25" t="s">
        <v>706</v>
      </c>
      <c r="D192" s="26">
        <v>20</v>
      </c>
      <c r="E192" s="26"/>
      <c r="F192" s="26"/>
      <c r="G192" s="26"/>
      <c r="H192" s="26"/>
      <c r="I192" s="26"/>
      <c r="J192" s="26"/>
      <c r="K192" s="26">
        <f>D192</f>
        <v>20</v>
      </c>
    </row>
    <row r="193" spans="2:11" x14ac:dyDescent="0.2">
      <c r="B193" s="130"/>
      <c r="C193" s="131" t="s">
        <v>707</v>
      </c>
      <c r="D193" s="132">
        <v>10</v>
      </c>
      <c r="E193" s="131"/>
      <c r="F193" s="131"/>
      <c r="G193" s="131"/>
      <c r="H193" s="131"/>
      <c r="I193" s="131"/>
      <c r="J193" s="131"/>
      <c r="K193" s="26">
        <f>D193</f>
        <v>10</v>
      </c>
    </row>
    <row r="194" spans="2:11" x14ac:dyDescent="0.2">
      <c r="B194" s="46" t="s">
        <v>6</v>
      </c>
      <c r="C194" s="47"/>
      <c r="D194" s="47"/>
      <c r="E194" s="47"/>
      <c r="F194" s="47"/>
      <c r="G194" s="47"/>
      <c r="H194" s="47"/>
      <c r="I194" s="47"/>
      <c r="J194" s="47"/>
      <c r="K194" s="48">
        <f>SUBTOTAL(109,Tabela4679271773138[Total])</f>
        <v>30</v>
      </c>
    </row>
    <row r="196" spans="2:11" ht="15" x14ac:dyDescent="0.25">
      <c r="B196" s="19" t="s">
        <v>302</v>
      </c>
      <c r="C196" s="155" t="s">
        <v>303</v>
      </c>
      <c r="D196" s="155"/>
      <c r="E196" s="155"/>
      <c r="F196" s="155"/>
      <c r="G196" s="155"/>
      <c r="H196" s="155"/>
      <c r="I196" s="155"/>
      <c r="J196" s="19" t="s">
        <v>243</v>
      </c>
      <c r="K196" s="19" t="s">
        <v>304</v>
      </c>
    </row>
    <row r="197" spans="2:11" ht="15" x14ac:dyDescent="0.2">
      <c r="B197" s="49" t="str">
        <f>MEDIÇÃO!A125</f>
        <v xml:space="preserve"> 7.38</v>
      </c>
      <c r="C197" s="160" t="str">
        <f>MEDIÇÃO!D125</f>
        <v>TOMADA DUPLA DE SOBREPOR PARA LÓGICA RJ-45, COMPLETA</v>
      </c>
      <c r="D197" s="160"/>
      <c r="E197" s="160"/>
      <c r="F197" s="160"/>
      <c r="G197" s="160"/>
      <c r="H197" s="160"/>
      <c r="I197" s="160"/>
      <c r="J197" s="49" t="str">
        <f>MEDIÇÃO!E120</f>
        <v>UND</v>
      </c>
      <c r="K197" s="50">
        <f>Tabela467927177313850[[#Totals],[Total]]</f>
        <v>14</v>
      </c>
    </row>
    <row r="198" spans="2:11" x14ac:dyDescent="0.2">
      <c r="B198" s="23" t="s">
        <v>0</v>
      </c>
      <c r="C198" s="23" t="s">
        <v>305</v>
      </c>
      <c r="D198" s="23" t="s">
        <v>450</v>
      </c>
      <c r="E198" s="23" t="s">
        <v>307</v>
      </c>
      <c r="F198" s="23" t="s">
        <v>308</v>
      </c>
      <c r="G198" s="23" t="s">
        <v>309</v>
      </c>
      <c r="H198" s="23" t="s">
        <v>310</v>
      </c>
      <c r="I198" s="23" t="s">
        <v>311</v>
      </c>
      <c r="J198" s="23" t="s">
        <v>312</v>
      </c>
      <c r="K198" s="23" t="s">
        <v>6</v>
      </c>
    </row>
    <row r="199" spans="2:11" x14ac:dyDescent="0.2">
      <c r="B199" s="24"/>
      <c r="C199" s="25" t="s">
        <v>731</v>
      </c>
      <c r="D199" s="26">
        <v>6</v>
      </c>
      <c r="E199" s="26"/>
      <c r="F199" s="26"/>
      <c r="G199" s="26"/>
      <c r="H199" s="26"/>
      <c r="I199" s="26"/>
      <c r="J199" s="26"/>
      <c r="K199" s="44">
        <f>D199</f>
        <v>6</v>
      </c>
    </row>
    <row r="200" spans="2:11" x14ac:dyDescent="0.2">
      <c r="B200" s="130"/>
      <c r="C200" s="25" t="s">
        <v>732</v>
      </c>
      <c r="D200" s="132">
        <v>2</v>
      </c>
      <c r="E200" s="131"/>
      <c r="F200" s="131"/>
      <c r="G200" s="131"/>
      <c r="H200" s="131"/>
      <c r="I200" s="131"/>
      <c r="J200" s="131"/>
      <c r="K200" s="132">
        <f>D200</f>
        <v>2</v>
      </c>
    </row>
    <row r="201" spans="2:11" x14ac:dyDescent="0.2">
      <c r="B201" s="130"/>
      <c r="C201" s="25" t="s">
        <v>722</v>
      </c>
      <c r="D201" s="132">
        <v>2</v>
      </c>
      <c r="E201" s="131"/>
      <c r="F201" s="131"/>
      <c r="G201" s="131"/>
      <c r="H201" s="131"/>
      <c r="I201" s="131"/>
      <c r="J201" s="131"/>
      <c r="K201" s="132">
        <f>D201</f>
        <v>2</v>
      </c>
    </row>
    <row r="202" spans="2:11" x14ac:dyDescent="0.2">
      <c r="B202" s="24"/>
      <c r="C202" s="25" t="s">
        <v>719</v>
      </c>
      <c r="D202" s="101">
        <v>2</v>
      </c>
      <c r="E202" s="25"/>
      <c r="F202" s="25"/>
      <c r="G202" s="25"/>
      <c r="H202" s="25"/>
      <c r="I202" s="25"/>
      <c r="J202" s="25"/>
      <c r="K202" s="44">
        <f>D202</f>
        <v>2</v>
      </c>
    </row>
    <row r="203" spans="2:11" x14ac:dyDescent="0.2">
      <c r="B203" s="130"/>
      <c r="C203" s="25" t="s">
        <v>720</v>
      </c>
      <c r="D203" s="132">
        <v>2</v>
      </c>
      <c r="E203" s="131"/>
      <c r="F203" s="131"/>
      <c r="G203" s="131"/>
      <c r="H203" s="131"/>
      <c r="I203" s="131"/>
      <c r="J203" s="131"/>
      <c r="K203" s="132">
        <f>D203</f>
        <v>2</v>
      </c>
    </row>
    <row r="204" spans="2:11" x14ac:dyDescent="0.2">
      <c r="B204" s="46" t="s">
        <v>6</v>
      </c>
      <c r="C204" s="47"/>
      <c r="D204" s="47"/>
      <c r="E204" s="47"/>
      <c r="F204" s="47"/>
      <c r="G204" s="47"/>
      <c r="H204" s="47"/>
      <c r="I204" s="47"/>
      <c r="J204" s="47"/>
      <c r="K204" s="48">
        <f>SUBTOTAL(109,Tabela467927177313850[Total])</f>
        <v>14</v>
      </c>
    </row>
    <row r="206" spans="2:11" ht="15" x14ac:dyDescent="0.25">
      <c r="B206" s="19" t="s">
        <v>302</v>
      </c>
      <c r="C206" s="155" t="s">
        <v>303</v>
      </c>
      <c r="D206" s="155"/>
      <c r="E206" s="155"/>
      <c r="F206" s="155"/>
      <c r="G206" s="155"/>
      <c r="H206" s="155"/>
      <c r="I206" s="155"/>
      <c r="J206" s="19" t="s">
        <v>243</v>
      </c>
      <c r="K206" s="19" t="s">
        <v>304</v>
      </c>
    </row>
    <row r="207" spans="2:11" ht="15" x14ac:dyDescent="0.2">
      <c r="B207" s="105" t="str">
        <f>MEDIÇÃO!A127</f>
        <v xml:space="preserve"> 7.40</v>
      </c>
      <c r="C207" s="161" t="str">
        <f>MEDIÇÃO!D127</f>
        <v>FORNECIMENTO E INSTALAÇÃO DE CANALETA SISTEMA "X" 50X20MM, COM DIVISÓRIA</v>
      </c>
      <c r="D207" s="161"/>
      <c r="E207" s="161"/>
      <c r="F207" s="161"/>
      <c r="G207" s="161"/>
      <c r="H207" s="161"/>
      <c r="I207" s="161"/>
      <c r="J207" s="105" t="str">
        <f>MEDIÇÃO!E127</f>
        <v>M</v>
      </c>
      <c r="K207" s="33">
        <f>Tabela467927177313840[[#Totals],[Total]]</f>
        <v>60</v>
      </c>
    </row>
    <row r="208" spans="2:11" x14ac:dyDescent="0.2">
      <c r="B208" s="23" t="s">
        <v>0</v>
      </c>
      <c r="C208" s="23" t="s">
        <v>305</v>
      </c>
      <c r="D208" s="23" t="s">
        <v>450</v>
      </c>
      <c r="E208" s="23" t="s">
        <v>734</v>
      </c>
      <c r="F208" s="23" t="s">
        <v>308</v>
      </c>
      <c r="G208" s="23" t="s">
        <v>309</v>
      </c>
      <c r="H208" s="23" t="s">
        <v>310</v>
      </c>
      <c r="I208" s="23" t="s">
        <v>311</v>
      </c>
      <c r="J208" s="23" t="s">
        <v>312</v>
      </c>
      <c r="K208" s="23" t="s">
        <v>6</v>
      </c>
    </row>
    <row r="209" spans="2:11" x14ac:dyDescent="0.2">
      <c r="B209" s="24"/>
      <c r="C209" s="25" t="s">
        <v>733</v>
      </c>
      <c r="D209" s="26">
        <v>6</v>
      </c>
      <c r="E209" s="26">
        <v>10</v>
      </c>
      <c r="F209" s="26"/>
      <c r="G209" s="26"/>
      <c r="H209" s="26"/>
      <c r="I209" s="26"/>
      <c r="J209" s="26"/>
      <c r="K209" s="26">
        <f>Tabela467927177313840[[#This Row],[Unidades]]*Tabela467927177313840[[#This Row],[M/DESCIDA]]</f>
        <v>60</v>
      </c>
    </row>
    <row r="210" spans="2:11" x14ac:dyDescent="0.2">
      <c r="B210" s="27" t="s">
        <v>6</v>
      </c>
      <c r="K210" s="28">
        <f>SUBTOTAL(109,Tabela467927177313840[Total])</f>
        <v>60</v>
      </c>
    </row>
    <row r="212" spans="2:11" ht="15" x14ac:dyDescent="0.25">
      <c r="B212" s="19" t="s">
        <v>302</v>
      </c>
      <c r="C212" s="155" t="s">
        <v>303</v>
      </c>
      <c r="D212" s="155"/>
      <c r="E212" s="155"/>
      <c r="F212" s="155"/>
      <c r="G212" s="155"/>
      <c r="H212" s="155"/>
      <c r="I212" s="155"/>
      <c r="J212" s="19" t="s">
        <v>243</v>
      </c>
      <c r="K212" s="19" t="s">
        <v>304</v>
      </c>
    </row>
    <row r="213" spans="2:11" ht="15" x14ac:dyDescent="0.2">
      <c r="B213" s="105" t="str">
        <f>MEDIÇÃO!A128</f>
        <v xml:space="preserve"> 7.41</v>
      </c>
      <c r="C213" s="161" t="str">
        <f>MEDIÇÃO!D128</f>
        <v>FORNECIMENTO E INSTALAÇÃO DE CANALETA SISTEMA "X" 110X20MM, COM DIVISÓRIA</v>
      </c>
      <c r="D213" s="161"/>
      <c r="E213" s="161"/>
      <c r="F213" s="161"/>
      <c r="G213" s="161"/>
      <c r="H213" s="161"/>
      <c r="I213" s="161"/>
      <c r="J213" s="105" t="str">
        <f>MEDIÇÃO!E128</f>
        <v>M</v>
      </c>
      <c r="K213" s="33">
        <f>Tabela46792717731385042[[#Totals],[Total]]</f>
        <v>40</v>
      </c>
    </row>
    <row r="214" spans="2:11" x14ac:dyDescent="0.2">
      <c r="B214" s="23" t="s">
        <v>0</v>
      </c>
      <c r="C214" s="23" t="s">
        <v>305</v>
      </c>
      <c r="D214" s="23" t="s">
        <v>450</v>
      </c>
      <c r="E214" s="23" t="s">
        <v>734</v>
      </c>
      <c r="F214" s="23" t="s">
        <v>308</v>
      </c>
      <c r="G214" s="23" t="s">
        <v>309</v>
      </c>
      <c r="H214" s="23" t="s">
        <v>310</v>
      </c>
      <c r="I214" s="23" t="s">
        <v>311</v>
      </c>
      <c r="J214" s="23" t="s">
        <v>312</v>
      </c>
      <c r="K214" s="23" t="s">
        <v>6</v>
      </c>
    </row>
    <row r="215" spans="2:11" x14ac:dyDescent="0.2">
      <c r="B215" s="24"/>
      <c r="C215" s="25" t="s">
        <v>733</v>
      </c>
      <c r="D215" s="26">
        <v>4</v>
      </c>
      <c r="E215" s="26">
        <v>10</v>
      </c>
      <c r="F215" s="26"/>
      <c r="G215" s="26"/>
      <c r="H215" s="26"/>
      <c r="I215" s="26"/>
      <c r="J215" s="26"/>
      <c r="K215" s="26">
        <f>Tabela46792717731385042[[#This Row],[Unidades]]*Tabela46792717731385042[[#This Row],[M/DESCIDA]]</f>
        <v>40</v>
      </c>
    </row>
    <row r="216" spans="2:11" x14ac:dyDescent="0.2">
      <c r="B216" s="46" t="s">
        <v>6</v>
      </c>
      <c r="C216" s="47"/>
      <c r="D216" s="47"/>
      <c r="E216" s="47"/>
      <c r="F216" s="47"/>
      <c r="G216" s="47"/>
      <c r="H216" s="47"/>
      <c r="I216" s="47"/>
      <c r="J216" s="47"/>
      <c r="K216" s="48">
        <f>SUBTOTAL(109,Tabela46792717731385042[Total])</f>
        <v>40</v>
      </c>
    </row>
    <row r="218" spans="2:11" ht="15" x14ac:dyDescent="0.25">
      <c r="B218" s="19" t="s">
        <v>302</v>
      </c>
      <c r="C218" s="155" t="s">
        <v>303</v>
      </c>
      <c r="D218" s="155"/>
      <c r="E218" s="155"/>
      <c r="F218" s="155"/>
      <c r="G218" s="155"/>
      <c r="H218" s="155"/>
      <c r="I218" s="155"/>
      <c r="J218" s="19" t="s">
        <v>243</v>
      </c>
      <c r="K218" s="19" t="s">
        <v>304</v>
      </c>
    </row>
    <row r="219" spans="2:11" ht="15" x14ac:dyDescent="0.2">
      <c r="B219" s="105" t="str">
        <f>MEDIÇÃO!A129</f>
        <v xml:space="preserve"> 7.42</v>
      </c>
      <c r="C219" s="161" t="str">
        <f>MEDIÇÃO!D129</f>
        <v>FORNECIMENTO E INSTALAÇÃO DE CONECTOR RJ 45 FÊMEA CAT 6</v>
      </c>
      <c r="D219" s="161"/>
      <c r="E219" s="161"/>
      <c r="F219" s="161"/>
      <c r="G219" s="161"/>
      <c r="H219" s="161"/>
      <c r="I219" s="161"/>
      <c r="J219" s="105" t="str">
        <f>MEDIÇÃO!E129</f>
        <v>UND</v>
      </c>
      <c r="K219" s="33">
        <f>Tabela46792717731384057[[#Totals],[Total]]</f>
        <v>211.20000000000002</v>
      </c>
    </row>
    <row r="220" spans="2:11" x14ac:dyDescent="0.2">
      <c r="B220" s="23" t="s">
        <v>0</v>
      </c>
      <c r="C220" s="23" t="s">
        <v>305</v>
      </c>
      <c r="D220" s="23" t="s">
        <v>735</v>
      </c>
      <c r="E220" s="23" t="s">
        <v>736</v>
      </c>
      <c r="F220" s="23" t="s">
        <v>737</v>
      </c>
      <c r="G220" s="23" t="s">
        <v>666</v>
      </c>
      <c r="H220" s="23" t="s">
        <v>310</v>
      </c>
      <c r="I220" s="23" t="s">
        <v>311</v>
      </c>
      <c r="J220" s="23" t="s">
        <v>312</v>
      </c>
      <c r="K220" s="23" t="s">
        <v>6</v>
      </c>
    </row>
    <row r="221" spans="2:11" x14ac:dyDescent="0.2">
      <c r="B221" s="24"/>
      <c r="C221" s="25" t="s">
        <v>708</v>
      </c>
      <c r="D221" s="101">
        <v>8</v>
      </c>
      <c r="E221" s="101">
        <v>2</v>
      </c>
      <c r="F221" s="101">
        <v>2</v>
      </c>
      <c r="G221" s="101">
        <v>0.8</v>
      </c>
      <c r="H221" s="25"/>
      <c r="I221" s="25"/>
      <c r="J221" s="25"/>
      <c r="K221" s="101">
        <f>Tabela46792717731384057[[#This Row],[ESTAÇÕES]]*Tabela46792717731384057[[#This Row],[PT/EST]]*Tabela46792717731384057[[#This Row],[CONEC/PT]]*Tabela46792717731384057[[#This Row],[COEF]]</f>
        <v>25.6</v>
      </c>
    </row>
    <row r="222" spans="2:11" x14ac:dyDescent="0.2">
      <c r="B222" s="24"/>
      <c r="C222" s="25" t="s">
        <v>716</v>
      </c>
      <c r="D222" s="101">
        <v>3</v>
      </c>
      <c r="E222" s="101">
        <v>2</v>
      </c>
      <c r="F222" s="101">
        <v>2</v>
      </c>
      <c r="G222" s="101">
        <v>0.8</v>
      </c>
      <c r="H222" s="25"/>
      <c r="I222" s="25"/>
      <c r="J222" s="25"/>
      <c r="K222" s="101">
        <f>Tabela46792717731384057[[#This Row],[ESTAÇÕES]]*Tabela46792717731384057[[#This Row],[PT/EST]]*Tabela46792717731384057[[#This Row],[CONEC/PT]]*Tabela46792717731384057[[#This Row],[COEF]]</f>
        <v>9.6000000000000014</v>
      </c>
    </row>
    <row r="223" spans="2:11" x14ac:dyDescent="0.2">
      <c r="B223" s="24"/>
      <c r="C223" s="25" t="s">
        <v>717</v>
      </c>
      <c r="D223" s="101">
        <v>3</v>
      </c>
      <c r="E223" s="101">
        <v>2</v>
      </c>
      <c r="F223" s="101">
        <v>2</v>
      </c>
      <c r="G223" s="101">
        <v>0.8</v>
      </c>
      <c r="H223" s="25"/>
      <c r="I223" s="25"/>
      <c r="J223" s="25"/>
      <c r="K223" s="101">
        <f>Tabela46792717731384057[[#This Row],[ESTAÇÕES]]*Tabela46792717731384057[[#This Row],[PT/EST]]*Tabela46792717731384057[[#This Row],[CONEC/PT]]*Tabela46792717731384057[[#This Row],[COEF]]</f>
        <v>9.6000000000000014</v>
      </c>
    </row>
    <row r="224" spans="2:11" x14ac:dyDescent="0.2">
      <c r="B224" s="24"/>
      <c r="C224" s="25" t="s">
        <v>718</v>
      </c>
      <c r="D224" s="101">
        <v>0</v>
      </c>
      <c r="E224" s="101"/>
      <c r="F224" s="101"/>
      <c r="G224" s="101">
        <v>0.8</v>
      </c>
      <c r="H224" s="25"/>
      <c r="I224" s="25"/>
      <c r="J224" s="25"/>
      <c r="K224" s="101">
        <f>Tabela46792717731384057[[#This Row],[ESTAÇÕES]]*Tabela46792717731384057[[#This Row],[PT/EST]]*Tabela46792717731384057[[#This Row],[CONEC/PT]]*Tabela46792717731384057[[#This Row],[COEF]]</f>
        <v>0</v>
      </c>
    </row>
    <row r="225" spans="2:11" x14ac:dyDescent="0.2">
      <c r="B225" s="24"/>
      <c r="C225" s="25" t="s">
        <v>722</v>
      </c>
      <c r="D225" s="101">
        <v>2</v>
      </c>
      <c r="E225" s="101">
        <v>2</v>
      </c>
      <c r="F225" s="101">
        <v>2</v>
      </c>
      <c r="G225" s="101">
        <v>0.8</v>
      </c>
      <c r="H225" s="25"/>
      <c r="I225" s="25"/>
      <c r="J225" s="25"/>
      <c r="K225" s="101">
        <f>Tabela46792717731384057[[#This Row],[ESTAÇÕES]]*Tabela46792717731384057[[#This Row],[PT/EST]]*Tabela46792717731384057[[#This Row],[CONEC/PT]]*Tabela46792717731384057[[#This Row],[COEF]]</f>
        <v>6.4</v>
      </c>
    </row>
    <row r="226" spans="2:11" x14ac:dyDescent="0.2">
      <c r="B226" s="24"/>
      <c r="C226" s="25" t="s">
        <v>709</v>
      </c>
      <c r="D226" s="101">
        <v>28</v>
      </c>
      <c r="E226" s="101">
        <v>2</v>
      </c>
      <c r="F226" s="101">
        <v>2</v>
      </c>
      <c r="G226" s="101">
        <v>0.8</v>
      </c>
      <c r="H226" s="25"/>
      <c r="I226" s="25"/>
      <c r="J226" s="25"/>
      <c r="K226" s="101">
        <f>Tabela46792717731384057[[#This Row],[ESTAÇÕES]]*Tabela46792717731384057[[#This Row],[PT/EST]]*Tabela46792717731384057[[#This Row],[CONEC/PT]]*Tabela46792717731384057[[#This Row],[COEF]]</f>
        <v>89.600000000000009</v>
      </c>
    </row>
    <row r="227" spans="2:11" x14ac:dyDescent="0.2">
      <c r="B227" s="24"/>
      <c r="C227" s="25" t="s">
        <v>719</v>
      </c>
      <c r="D227" s="101">
        <v>2</v>
      </c>
      <c r="E227" s="101">
        <v>2</v>
      </c>
      <c r="F227" s="101">
        <v>2</v>
      </c>
      <c r="G227" s="101">
        <v>0.8</v>
      </c>
      <c r="H227" s="25"/>
      <c r="I227" s="25"/>
      <c r="J227" s="25"/>
      <c r="K227" s="101">
        <f>Tabela46792717731384057[[#This Row],[ESTAÇÕES]]*Tabela46792717731384057[[#This Row],[PT/EST]]*Tabela46792717731384057[[#This Row],[CONEC/PT]]*Tabela46792717731384057[[#This Row],[COEF]]</f>
        <v>6.4</v>
      </c>
    </row>
    <row r="228" spans="2:11" x14ac:dyDescent="0.2">
      <c r="B228" s="24"/>
      <c r="C228" s="25" t="s">
        <v>738</v>
      </c>
      <c r="D228" s="44">
        <v>2</v>
      </c>
      <c r="E228" s="44">
        <v>2</v>
      </c>
      <c r="F228" s="44">
        <v>2</v>
      </c>
      <c r="G228" s="101">
        <v>0.8</v>
      </c>
      <c r="H228" s="26"/>
      <c r="I228" s="26"/>
      <c r="J228" s="26"/>
      <c r="K228" s="44">
        <f>Tabela46792717731384057[[#This Row],[ESTAÇÕES]]*Tabela46792717731384057[[#This Row],[PT/EST]]*Tabela46792717731384057[[#This Row],[CONEC/PT]]*Tabela46792717731384057[[#This Row],[COEF]]</f>
        <v>6.4</v>
      </c>
    </row>
    <row r="229" spans="2:11" x14ac:dyDescent="0.2">
      <c r="B229" s="24"/>
      <c r="C229" s="25" t="s">
        <v>707</v>
      </c>
      <c r="D229" s="44">
        <v>18</v>
      </c>
      <c r="E229" s="44">
        <v>2</v>
      </c>
      <c r="F229" s="44">
        <v>2</v>
      </c>
      <c r="G229" s="101">
        <v>0.8</v>
      </c>
      <c r="H229" s="25"/>
      <c r="I229" s="25"/>
      <c r="J229" s="25"/>
      <c r="K229" s="44">
        <f>Tabela46792717731384057[[#This Row],[ESTAÇÕES]]*Tabela46792717731384057[[#This Row],[PT/EST]]*Tabela46792717731384057[[#This Row],[CONEC/PT]]*Tabela46792717731384057[[#This Row],[COEF]]</f>
        <v>57.6</v>
      </c>
    </row>
    <row r="230" spans="2:11" x14ac:dyDescent="0.2">
      <c r="B230" s="46" t="s">
        <v>6</v>
      </c>
      <c r="C230" s="47"/>
      <c r="D230" s="47"/>
      <c r="E230" s="47"/>
      <c r="F230" s="47"/>
      <c r="G230" s="47"/>
      <c r="H230" s="47"/>
      <c r="I230" s="47"/>
      <c r="J230" s="47"/>
      <c r="K230" s="48">
        <f>SUBTOTAL(109,Tabela46792717731384057[Total])</f>
        <v>211.20000000000002</v>
      </c>
    </row>
    <row r="232" spans="2:11" ht="15" x14ac:dyDescent="0.25">
      <c r="B232" s="19" t="s">
        <v>302</v>
      </c>
      <c r="C232" s="155" t="s">
        <v>303</v>
      </c>
      <c r="D232" s="155"/>
      <c r="E232" s="155"/>
      <c r="F232" s="155"/>
      <c r="G232" s="155"/>
      <c r="H232" s="155"/>
      <c r="I232" s="155"/>
      <c r="J232" s="19" t="s">
        <v>243</v>
      </c>
      <c r="K232" s="19" t="s">
        <v>304</v>
      </c>
    </row>
    <row r="233" spans="2:11" ht="15" x14ac:dyDescent="0.2">
      <c r="B233" s="105" t="str">
        <f>MEDIÇÃO!A130</f>
        <v xml:space="preserve"> 7.43</v>
      </c>
      <c r="C233" s="161" t="str">
        <f>MEDIÇÃO!D130</f>
        <v>FORNECIMENTO E INSTALAÇÃO DE CONECTOR RJ 45 MACHO CAT 6</v>
      </c>
      <c r="D233" s="161"/>
      <c r="E233" s="161"/>
      <c r="F233" s="161"/>
      <c r="G233" s="161"/>
      <c r="H233" s="161"/>
      <c r="I233" s="161"/>
      <c r="J233" s="105" t="str">
        <f>MEDIÇÃO!E130</f>
        <v>UND</v>
      </c>
      <c r="K233" s="33">
        <f>Tabela4679271773138504258[[#Totals],[Total]]</f>
        <v>20</v>
      </c>
    </row>
    <row r="234" spans="2:11" x14ac:dyDescent="0.2">
      <c r="B234" s="23" t="s">
        <v>0</v>
      </c>
      <c r="C234" s="23" t="s">
        <v>305</v>
      </c>
      <c r="D234" s="23" t="s">
        <v>450</v>
      </c>
      <c r="E234" s="23" t="s">
        <v>307</v>
      </c>
      <c r="F234" s="23" t="s">
        <v>308</v>
      </c>
      <c r="G234" s="23" t="s">
        <v>309</v>
      </c>
      <c r="H234" s="23" t="s">
        <v>310</v>
      </c>
      <c r="I234" s="23" t="s">
        <v>311</v>
      </c>
      <c r="J234" s="23" t="s">
        <v>312</v>
      </c>
      <c r="K234" s="23" t="s">
        <v>6</v>
      </c>
    </row>
    <row r="235" spans="2:11" x14ac:dyDescent="0.2">
      <c r="B235" s="24"/>
      <c r="C235" s="25" t="s">
        <v>706</v>
      </c>
      <c r="D235" s="26">
        <v>20</v>
      </c>
      <c r="E235" s="26"/>
      <c r="F235" s="26"/>
      <c r="G235" s="26"/>
      <c r="H235" s="26"/>
      <c r="I235" s="26"/>
      <c r="J235" s="26"/>
      <c r="K235" s="26">
        <f>D235</f>
        <v>20</v>
      </c>
    </row>
    <row r="236" spans="2:11" x14ac:dyDescent="0.2">
      <c r="B236" s="27" t="s">
        <v>6</v>
      </c>
      <c r="K236" s="28">
        <f>SUBTOTAL(109,Tabela4679271773138504258[Total])</f>
        <v>20</v>
      </c>
    </row>
    <row r="239" spans="2:11" ht="15.75" x14ac:dyDescent="0.25">
      <c r="B239" s="38" t="str">
        <f>MEDIÇÃO!A143</f>
        <v xml:space="preserve"> 9 </v>
      </c>
      <c r="C239" s="39" t="str">
        <f>MEDIÇÃO!D143</f>
        <v>SERVIÇOS COMPLEMENTARES</v>
      </c>
      <c r="D239" s="40"/>
      <c r="E239" s="40"/>
      <c r="F239" s="40"/>
      <c r="G239" s="40"/>
      <c r="H239" s="40"/>
      <c r="I239" s="40"/>
      <c r="J239" s="40"/>
      <c r="K239" s="41"/>
    </row>
    <row r="241" spans="2:11" ht="15" x14ac:dyDescent="0.25">
      <c r="B241" s="19" t="s">
        <v>302</v>
      </c>
      <c r="C241" s="155" t="s">
        <v>303</v>
      </c>
      <c r="D241" s="155"/>
      <c r="E241" s="155"/>
      <c r="F241" s="155"/>
      <c r="G241" s="155"/>
      <c r="H241" s="155"/>
      <c r="I241" s="155"/>
      <c r="J241" s="19" t="s">
        <v>243</v>
      </c>
      <c r="K241" s="19" t="s">
        <v>304</v>
      </c>
    </row>
    <row r="242" spans="2:11" ht="15" x14ac:dyDescent="0.2">
      <c r="B242" s="49" t="str">
        <f>MEDIÇÃO!A151</f>
        <v xml:space="preserve"> 9.8</v>
      </c>
      <c r="C242" s="160" t="str">
        <f>MEDIÇÃO!D151</f>
        <v>LIMPEZA GERAL</v>
      </c>
      <c r="D242" s="160"/>
      <c r="E242" s="160"/>
      <c r="F242" s="160"/>
      <c r="G242" s="160"/>
      <c r="H242" s="160"/>
      <c r="I242" s="160"/>
      <c r="J242" s="49" t="str">
        <f>MEDIÇÃO!E151</f>
        <v>M²</v>
      </c>
      <c r="K242" s="50">
        <f>Tabela467927173180184[[#Totals],[Total]]</f>
        <v>220.6404</v>
      </c>
    </row>
    <row r="243" spans="2:11" x14ac:dyDescent="0.2">
      <c r="B243" s="23" t="s">
        <v>0</v>
      </c>
      <c r="C243" s="23" t="s">
        <v>305</v>
      </c>
      <c r="D243" s="23" t="s">
        <v>318</v>
      </c>
      <c r="E243" s="23" t="s">
        <v>323</v>
      </c>
      <c r="F243" s="23" t="s">
        <v>308</v>
      </c>
      <c r="G243" s="23" t="s">
        <v>309</v>
      </c>
      <c r="H243" s="23" t="s">
        <v>310</v>
      </c>
      <c r="I243" s="23" t="s">
        <v>311</v>
      </c>
      <c r="J243" s="23" t="s">
        <v>312</v>
      </c>
      <c r="K243" s="23" t="s">
        <v>6</v>
      </c>
    </row>
    <row r="244" spans="2:11" x14ac:dyDescent="0.2">
      <c r="B244" s="24"/>
      <c r="C244" s="25" t="s">
        <v>452</v>
      </c>
      <c r="D244" s="26">
        <v>14.68</v>
      </c>
      <c r="E244" s="26">
        <v>15.03</v>
      </c>
      <c r="F244" s="26"/>
      <c r="G244" s="26"/>
      <c r="H244" s="26"/>
      <c r="I244" s="26"/>
      <c r="J244" s="26"/>
      <c r="K244" s="26">
        <f>Tabela467927173180184[[#This Row],[Comp. (m)]]*Tabela467927173180184[[#This Row],[Larg. (m)]]</f>
        <v>220.6404</v>
      </c>
    </row>
    <row r="245" spans="2:11" x14ac:dyDescent="0.2">
      <c r="B245" s="46" t="s">
        <v>6</v>
      </c>
      <c r="C245" s="47"/>
      <c r="D245" s="47"/>
      <c r="E245" s="47"/>
      <c r="F245" s="47"/>
      <c r="G245" s="47"/>
      <c r="H245" s="47"/>
      <c r="I245" s="47"/>
      <c r="J245" s="47"/>
      <c r="K245" s="48">
        <f>SUBTOTAL(109,Tabela467927173180184[Total])</f>
        <v>220.6404</v>
      </c>
    </row>
    <row r="247" spans="2:11" ht="15" x14ac:dyDescent="0.25">
      <c r="B247" s="19" t="s">
        <v>302</v>
      </c>
      <c r="C247" s="155" t="s">
        <v>303</v>
      </c>
      <c r="D247" s="155"/>
      <c r="E247" s="155"/>
      <c r="F247" s="155"/>
      <c r="G247" s="155"/>
      <c r="H247" s="155"/>
      <c r="I247" s="155"/>
      <c r="J247" s="19" t="s">
        <v>243</v>
      </c>
      <c r="K247" s="19" t="s">
        <v>304</v>
      </c>
    </row>
    <row r="248" spans="2:11" ht="15" x14ac:dyDescent="0.2">
      <c r="B248" s="49" t="str">
        <f>MEDIÇÃO!A152</f>
        <v xml:space="preserve"> 9.9</v>
      </c>
      <c r="C248" s="160" t="str">
        <f>MEDIÇÃO!D152</f>
        <v>ESTAÇÕES DE TRABALHO EM MDF - 1,50X0,70M, PADRÃO SETIN - FORNECIMENTO E INSTALAÇÃO</v>
      </c>
      <c r="D248" s="160"/>
      <c r="E248" s="160"/>
      <c r="F248" s="160"/>
      <c r="G248" s="160"/>
      <c r="H248" s="160"/>
      <c r="I248" s="160"/>
      <c r="J248" s="49" t="str">
        <f>MEDIÇÃO!E152</f>
        <v>UND</v>
      </c>
      <c r="K248" s="50">
        <f>Tabela46792717318018459[[#Totals],[Total]]</f>
        <v>11</v>
      </c>
    </row>
    <row r="249" spans="2:11" x14ac:dyDescent="0.2">
      <c r="B249" s="23" t="s">
        <v>0</v>
      </c>
      <c r="C249" s="23" t="s">
        <v>305</v>
      </c>
      <c r="D249" s="23" t="s">
        <v>5</v>
      </c>
      <c r="E249" s="23" t="s">
        <v>307</v>
      </c>
      <c r="F249" s="23" t="s">
        <v>308</v>
      </c>
      <c r="G249" s="23" t="s">
        <v>309</v>
      </c>
      <c r="H249" s="23" t="s">
        <v>310</v>
      </c>
      <c r="I249" s="23" t="s">
        <v>311</v>
      </c>
      <c r="J249" s="23" t="s">
        <v>312</v>
      </c>
      <c r="K249" s="23" t="s">
        <v>6</v>
      </c>
    </row>
    <row r="250" spans="2:11" x14ac:dyDescent="0.2">
      <c r="B250" s="24"/>
      <c r="C250" s="25" t="s">
        <v>708</v>
      </c>
      <c r="D250" s="26">
        <v>7</v>
      </c>
      <c r="E250" s="26"/>
      <c r="F250" s="26"/>
      <c r="G250" s="26"/>
      <c r="H250" s="26"/>
      <c r="I250" s="26"/>
      <c r="J250" s="26"/>
      <c r="K250" s="26">
        <f>Tabela46792717318018459[[#This Row],[Quant.]]</f>
        <v>7</v>
      </c>
    </row>
    <row r="251" spans="2:11" x14ac:dyDescent="0.2">
      <c r="B251" s="130"/>
      <c r="C251" s="131" t="s">
        <v>709</v>
      </c>
      <c r="D251" s="26">
        <v>4</v>
      </c>
      <c r="E251" s="26"/>
      <c r="F251" s="131"/>
      <c r="G251" s="131"/>
      <c r="H251" s="131"/>
      <c r="I251" s="131"/>
      <c r="J251" s="131"/>
      <c r="K251" s="26">
        <f>Tabela46792717318018459[[#This Row],[Quant.]]</f>
        <v>4</v>
      </c>
    </row>
    <row r="252" spans="2:11" x14ac:dyDescent="0.2">
      <c r="B252" s="46" t="s">
        <v>6</v>
      </c>
      <c r="C252" s="47"/>
      <c r="D252" s="47"/>
      <c r="E252" s="47"/>
      <c r="F252" s="47"/>
      <c r="G252" s="47"/>
      <c r="H252" s="47"/>
      <c r="I252" s="47"/>
      <c r="J252" s="47"/>
      <c r="K252" s="48">
        <f>SUBTOTAL(109,Tabela46792717318018459[Total])</f>
        <v>11</v>
      </c>
    </row>
    <row r="255" spans="2:11" ht="15.75" x14ac:dyDescent="0.25">
      <c r="B255" s="38">
        <f>MEDIÇÃO!A153</f>
        <v>10</v>
      </c>
      <c r="C255" s="39" t="str">
        <f>MEDIÇÃO!D153</f>
        <v>CLIMATIZAÇÃO</v>
      </c>
      <c r="D255" s="40"/>
      <c r="E255" s="40"/>
      <c r="F255" s="40"/>
      <c r="G255" s="40"/>
      <c r="H255" s="40"/>
      <c r="I255" s="40"/>
      <c r="J255" s="40"/>
      <c r="K255" s="41"/>
    </row>
    <row r="257" spans="2:11" ht="15" x14ac:dyDescent="0.25">
      <c r="B257" s="19" t="s">
        <v>302</v>
      </c>
      <c r="C257" s="155" t="s">
        <v>303</v>
      </c>
      <c r="D257" s="155"/>
      <c r="E257" s="155"/>
      <c r="F257" s="155"/>
      <c r="G257" s="155"/>
      <c r="H257" s="155"/>
      <c r="I257" s="155"/>
      <c r="J257" s="19" t="s">
        <v>243</v>
      </c>
      <c r="K257" s="19" t="s">
        <v>304</v>
      </c>
    </row>
    <row r="258" spans="2:11" ht="15" x14ac:dyDescent="0.2">
      <c r="B258" s="49" t="str">
        <f>MEDIÇÃO!A154</f>
        <v>10.1</v>
      </c>
      <c r="C258" s="160" t="str">
        <f>MEDIÇÃO!D154</f>
        <v>REMANEJAMENTO DE AR CONDICIONADO TIPO SPLIT CASSETE (TETO), INCLUSO RECARGA DE GÁS</v>
      </c>
      <c r="D258" s="160"/>
      <c r="E258" s="160"/>
      <c r="F258" s="160"/>
      <c r="G258" s="160"/>
      <c r="H258" s="160"/>
      <c r="I258" s="160"/>
      <c r="J258" s="49" t="str">
        <f>MEDIÇÃO!E154</f>
        <v>UND</v>
      </c>
      <c r="K258" s="50">
        <f>Tabela46792717318018449[[#Totals],[Total]]</f>
        <v>6</v>
      </c>
    </row>
    <row r="259" spans="2:11" x14ac:dyDescent="0.2">
      <c r="B259" s="23" t="s">
        <v>0</v>
      </c>
      <c r="C259" s="23" t="s">
        <v>305</v>
      </c>
      <c r="D259" s="23" t="s">
        <v>5</v>
      </c>
      <c r="E259" s="23" t="s">
        <v>307</v>
      </c>
      <c r="F259" s="23" t="s">
        <v>308</v>
      </c>
      <c r="G259" s="23" t="s">
        <v>309</v>
      </c>
      <c r="H259" s="23" t="s">
        <v>310</v>
      </c>
      <c r="I259" s="23" t="s">
        <v>311</v>
      </c>
      <c r="J259" s="23" t="s">
        <v>312</v>
      </c>
      <c r="K259" s="23" t="s">
        <v>6</v>
      </c>
    </row>
    <row r="260" spans="2:11" x14ac:dyDescent="0.2">
      <c r="B260" s="24"/>
      <c r="C260" s="25" t="s">
        <v>710</v>
      </c>
      <c r="D260" s="26">
        <v>6</v>
      </c>
      <c r="E260" s="26"/>
      <c r="F260" s="26"/>
      <c r="G260" s="26"/>
      <c r="H260" s="26"/>
      <c r="I260" s="26"/>
      <c r="J260" s="26"/>
      <c r="K260" s="26">
        <f>Tabela46792717318018449[[#This Row],[Quant.]]</f>
        <v>6</v>
      </c>
    </row>
    <row r="261" spans="2:11" x14ac:dyDescent="0.2">
      <c r="B261" s="46" t="s">
        <v>6</v>
      </c>
      <c r="C261" s="47"/>
      <c r="D261" s="47"/>
      <c r="E261" s="47"/>
      <c r="F261" s="47"/>
      <c r="G261" s="47"/>
      <c r="H261" s="47"/>
      <c r="I261" s="47"/>
      <c r="J261" s="47"/>
      <c r="K261" s="48">
        <f>SUBTOTAL(109,Tabela46792717318018449[Total])</f>
        <v>6</v>
      </c>
    </row>
    <row r="263" spans="2:11" ht="15" x14ac:dyDescent="0.25">
      <c r="B263" s="19" t="s">
        <v>302</v>
      </c>
      <c r="C263" s="155" t="s">
        <v>303</v>
      </c>
      <c r="D263" s="155"/>
      <c r="E263" s="155"/>
      <c r="F263" s="155"/>
      <c r="G263" s="155"/>
      <c r="H263" s="155"/>
      <c r="I263" s="155"/>
      <c r="J263" s="19" t="s">
        <v>243</v>
      </c>
      <c r="K263" s="19" t="s">
        <v>304</v>
      </c>
    </row>
    <row r="264" spans="2:11" ht="15" x14ac:dyDescent="0.2">
      <c r="B264" s="49" t="str">
        <f>MEDIÇÃO!A155</f>
        <v>10.2</v>
      </c>
      <c r="C264" s="160" t="str">
        <f>MEDIÇÃO!D155</f>
        <v>TUBO, PVC, SOLDÁVEL, DN 25MM, INSTALADO EM DRENO DE AR-CONDICIONADO COM ISOLAMENTO - FORNECIMENTO E INSTALAÇÃO.</v>
      </c>
      <c r="D264" s="160"/>
      <c r="E264" s="160"/>
      <c r="F264" s="160"/>
      <c r="G264" s="160"/>
      <c r="H264" s="160"/>
      <c r="I264" s="160"/>
      <c r="J264" s="49" t="str">
        <f>MEDIÇÃO!E155</f>
        <v>M</v>
      </c>
      <c r="K264" s="50">
        <f>Tabela4679271731801844951[[#Totals],[Total]]</f>
        <v>24</v>
      </c>
    </row>
    <row r="265" spans="2:11" x14ac:dyDescent="0.2">
      <c r="B265" s="23" t="s">
        <v>0</v>
      </c>
      <c r="C265" s="23" t="s">
        <v>305</v>
      </c>
      <c r="D265" s="23" t="s">
        <v>711</v>
      </c>
      <c r="E265" s="23" t="s">
        <v>712</v>
      </c>
      <c r="F265" s="23" t="s">
        <v>308</v>
      </c>
      <c r="G265" s="23" t="s">
        <v>309</v>
      </c>
      <c r="H265" s="23" t="s">
        <v>310</v>
      </c>
      <c r="I265" s="23" t="s">
        <v>311</v>
      </c>
      <c r="J265" s="23" t="s">
        <v>312</v>
      </c>
      <c r="K265" s="23" t="s">
        <v>6</v>
      </c>
    </row>
    <row r="266" spans="2:11" x14ac:dyDescent="0.2">
      <c r="B266" s="24"/>
      <c r="C266" s="25" t="s">
        <v>710</v>
      </c>
      <c r="D266" s="26">
        <v>6</v>
      </c>
      <c r="E266" s="26">
        <v>4</v>
      </c>
      <c r="F266" s="26"/>
      <c r="G266" s="26"/>
      <c r="H266" s="26"/>
      <c r="I266" s="26"/>
      <c r="J266" s="26"/>
      <c r="K266" s="26">
        <f>Tabela4679271731801844951[[#This Row],[Quant. SPLIT]]*Tabela4679271731801844951[[#This Row],[Metros / SPLIT]]</f>
        <v>24</v>
      </c>
    </row>
    <row r="267" spans="2:11" x14ac:dyDescent="0.2">
      <c r="B267" s="46" t="s">
        <v>6</v>
      </c>
      <c r="C267" s="47"/>
      <c r="D267" s="47"/>
      <c r="E267" s="47"/>
      <c r="F267" s="47"/>
      <c r="G267" s="47"/>
      <c r="H267" s="47"/>
      <c r="I267" s="47"/>
      <c r="J267" s="47"/>
      <c r="K267" s="48">
        <f>SUBTOTAL(109,Tabela4679271731801844951[Total])</f>
        <v>24</v>
      </c>
    </row>
    <row r="269" spans="2:11" ht="15" x14ac:dyDescent="0.25">
      <c r="B269" s="19" t="s">
        <v>302</v>
      </c>
      <c r="C269" s="155" t="s">
        <v>303</v>
      </c>
      <c r="D269" s="155"/>
      <c r="E269" s="155"/>
      <c r="F269" s="155"/>
      <c r="G269" s="155"/>
      <c r="H269" s="155"/>
      <c r="I269" s="155"/>
      <c r="J269" s="19" t="s">
        <v>243</v>
      </c>
      <c r="K269" s="19" t="s">
        <v>304</v>
      </c>
    </row>
    <row r="270" spans="2:11" ht="15" x14ac:dyDescent="0.2">
      <c r="B270" s="49" t="str">
        <f>MEDIÇÃO!A156</f>
        <v>10.3</v>
      </c>
      <c r="C270" s="160" t="str">
        <f>MEDIÇÃO!D156</f>
        <v>TUBO EM COBRE FLEXÍVEL, DN 5/8", COM ISOLAMENTO, INSTALADO EM FORRO, PARA RAMAL DE ALIMENTAÇÃO DE AR CONDICIONADO, INCLUSO FIXADOR. AF_11/2021</v>
      </c>
      <c r="D270" s="160"/>
      <c r="E270" s="160"/>
      <c r="F270" s="160"/>
      <c r="G270" s="160"/>
      <c r="H270" s="160"/>
      <c r="I270" s="160"/>
      <c r="J270" s="49" t="str">
        <f>MEDIÇÃO!E156</f>
        <v>M</v>
      </c>
      <c r="K270" s="50">
        <f>Tabela467927173180184495152[[#Totals],[Total]]</f>
        <v>36</v>
      </c>
    </row>
    <row r="271" spans="2:11" x14ac:dyDescent="0.2">
      <c r="B271" s="23" t="s">
        <v>0</v>
      </c>
      <c r="C271" s="23" t="s">
        <v>305</v>
      </c>
      <c r="D271" s="23" t="s">
        <v>711</v>
      </c>
      <c r="E271" s="23" t="s">
        <v>712</v>
      </c>
      <c r="F271" s="23" t="s">
        <v>308</v>
      </c>
      <c r="G271" s="23" t="s">
        <v>309</v>
      </c>
      <c r="H271" s="23" t="s">
        <v>310</v>
      </c>
      <c r="I271" s="23" t="s">
        <v>311</v>
      </c>
      <c r="J271" s="23" t="s">
        <v>312</v>
      </c>
      <c r="K271" s="23" t="s">
        <v>6</v>
      </c>
    </row>
    <row r="272" spans="2:11" x14ac:dyDescent="0.2">
      <c r="B272" s="24"/>
      <c r="C272" s="25" t="s">
        <v>713</v>
      </c>
      <c r="D272" s="26">
        <v>6</v>
      </c>
      <c r="E272" s="26">
        <v>6</v>
      </c>
      <c r="F272" s="26"/>
      <c r="G272" s="26"/>
      <c r="H272" s="26"/>
      <c r="I272" s="26"/>
      <c r="J272" s="26"/>
      <c r="K272" s="26">
        <f>Tabela467927173180184495152[[#This Row],[Quant. SPLIT]]*Tabela467927173180184495152[[#This Row],[Metros / SPLIT]]</f>
        <v>36</v>
      </c>
    </row>
    <row r="273" spans="2:11" x14ac:dyDescent="0.2">
      <c r="B273" s="46" t="s">
        <v>6</v>
      </c>
      <c r="C273" s="47"/>
      <c r="D273" s="47"/>
      <c r="E273" s="47"/>
      <c r="F273" s="47"/>
      <c r="G273" s="47"/>
      <c r="H273" s="47"/>
      <c r="I273" s="47"/>
      <c r="J273" s="47"/>
      <c r="K273" s="48">
        <f>SUBTOTAL(109,Tabela467927173180184495152[Total])</f>
        <v>36</v>
      </c>
    </row>
  </sheetData>
  <mergeCells count="65">
    <mergeCell ref="C206:I206"/>
    <mergeCell ref="C77:I77"/>
    <mergeCell ref="C59:I59"/>
    <mergeCell ref="C60:I60"/>
    <mergeCell ref="C141:I141"/>
    <mergeCell ref="C140:I140"/>
    <mergeCell ref="C70:I70"/>
    <mergeCell ref="C71:I71"/>
    <mergeCell ref="C100:I100"/>
    <mergeCell ref="C99:I99"/>
    <mergeCell ref="C190:I190"/>
    <mergeCell ref="C196:I196"/>
    <mergeCell ref="C197:I197"/>
    <mergeCell ref="C165:I165"/>
    <mergeCell ref="C166:I166"/>
    <mergeCell ref="C189:I189"/>
    <mergeCell ref="C207:I207"/>
    <mergeCell ref="C212:I212"/>
    <mergeCell ref="C213:I213"/>
    <mergeCell ref="C257:I257"/>
    <mergeCell ref="C241:I241"/>
    <mergeCell ref="C242:I242"/>
    <mergeCell ref="C218:I218"/>
    <mergeCell ref="C219:I219"/>
    <mergeCell ref="C232:I232"/>
    <mergeCell ref="C233:I233"/>
    <mergeCell ref="C247:I247"/>
    <mergeCell ref="C248:I248"/>
    <mergeCell ref="C258:I258"/>
    <mergeCell ref="C263:I263"/>
    <mergeCell ref="C264:I264"/>
    <mergeCell ref="C269:I269"/>
    <mergeCell ref="C270:I270"/>
    <mergeCell ref="C182:I182"/>
    <mergeCell ref="C183:I183"/>
    <mergeCell ref="C176:I176"/>
    <mergeCell ref="C177:I177"/>
    <mergeCell ref="C18:I18"/>
    <mergeCell ref="C152:I152"/>
    <mergeCell ref="C153:I153"/>
    <mergeCell ref="C108:I108"/>
    <mergeCell ref="C109:I109"/>
    <mergeCell ref="C121:I121"/>
    <mergeCell ref="C122:I122"/>
    <mergeCell ref="C88:I88"/>
    <mergeCell ref="C87:I87"/>
    <mergeCell ref="C39:I39"/>
    <mergeCell ref="C40:I40"/>
    <mergeCell ref="C49:I49"/>
    <mergeCell ref="C3:I3"/>
    <mergeCell ref="C4:I4"/>
    <mergeCell ref="B8:K8"/>
    <mergeCell ref="C12:I12"/>
    <mergeCell ref="C13:I13"/>
    <mergeCell ref="C127:I127"/>
    <mergeCell ref="C128:I128"/>
    <mergeCell ref="C158:I158"/>
    <mergeCell ref="C159:I159"/>
    <mergeCell ref="C19:I19"/>
    <mergeCell ref="C33:I33"/>
    <mergeCell ref="C34:I34"/>
    <mergeCell ref="C50:I50"/>
    <mergeCell ref="C76:I76"/>
    <mergeCell ref="C27:I27"/>
    <mergeCell ref="C28:I28"/>
  </mergeCells>
  <phoneticPr fontId="16" type="noConversion"/>
  <pageMargins left="0.511811024" right="0.511811024" top="0.78740157499999996" bottom="0.78740157499999996" header="0.31496062000000002" footer="0.31496062000000002"/>
  <pageSetup paperSize="9" orientation="landscape"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topLeftCell="A44" workbookViewId="0">
      <selection activeCell="C47" sqref="C47"/>
    </sheetView>
  </sheetViews>
  <sheetFormatPr defaultRowHeight="14.25" x14ac:dyDescent="0.2"/>
  <cols>
    <col min="1" max="1" width="3.625" customWidth="1"/>
    <col min="2" max="2" width="13.5" customWidth="1"/>
    <col min="3" max="3" width="56.375" style="65" bestFit="1" customWidth="1"/>
    <col min="4" max="4" width="5.875" customWidth="1"/>
    <col min="5" max="5" width="10.5" bestFit="1" customWidth="1"/>
  </cols>
  <sheetData>
    <row r="2" spans="2:5" x14ac:dyDescent="0.2">
      <c r="B2" t="s">
        <v>473</v>
      </c>
      <c r="C2" s="65" t="s">
        <v>474</v>
      </c>
      <c r="D2" t="s">
        <v>475</v>
      </c>
      <c r="E2" s="64">
        <v>103.73</v>
      </c>
    </row>
    <row r="3" spans="2:5" x14ac:dyDescent="0.2">
      <c r="B3" t="s">
        <v>476</v>
      </c>
      <c r="C3" s="65" t="s">
        <v>477</v>
      </c>
      <c r="D3" t="s">
        <v>478</v>
      </c>
      <c r="E3" s="64">
        <v>13.66</v>
      </c>
    </row>
    <row r="4" spans="2:5" x14ac:dyDescent="0.2">
      <c r="E4" s="64"/>
    </row>
    <row r="5" spans="2:5" x14ac:dyDescent="0.2">
      <c r="B5" t="s">
        <v>479</v>
      </c>
      <c r="C5" s="65" t="s">
        <v>480</v>
      </c>
      <c r="D5" t="s">
        <v>475</v>
      </c>
      <c r="E5" s="64">
        <v>15.36</v>
      </c>
    </row>
    <row r="6" spans="2:5" x14ac:dyDescent="0.2">
      <c r="B6" t="s">
        <v>481</v>
      </c>
      <c r="C6" s="65" t="s">
        <v>482</v>
      </c>
      <c r="D6" t="s">
        <v>475</v>
      </c>
      <c r="E6" s="64">
        <v>26.22</v>
      </c>
    </row>
    <row r="7" spans="2:5" x14ac:dyDescent="0.2">
      <c r="B7" t="s">
        <v>483</v>
      </c>
      <c r="C7" s="65" t="s">
        <v>484</v>
      </c>
      <c r="D7" t="s">
        <v>21</v>
      </c>
      <c r="E7" s="64">
        <v>28.49</v>
      </c>
    </row>
    <row r="8" spans="2:5" x14ac:dyDescent="0.2">
      <c r="E8" s="64"/>
    </row>
    <row r="9" spans="2:5" ht="28.5" x14ac:dyDescent="0.2">
      <c r="B9" s="66" t="s">
        <v>485</v>
      </c>
      <c r="C9" s="65" t="s">
        <v>486</v>
      </c>
      <c r="D9" t="s">
        <v>487</v>
      </c>
      <c r="E9" s="64">
        <v>4.88</v>
      </c>
    </row>
    <row r="10" spans="2:5" x14ac:dyDescent="0.2">
      <c r="B10" s="66"/>
      <c r="E10" s="64"/>
    </row>
    <row r="11" spans="2:5" x14ac:dyDescent="0.2">
      <c r="B11" t="s">
        <v>488</v>
      </c>
      <c r="C11" s="65" t="s">
        <v>489</v>
      </c>
      <c r="D11" t="s">
        <v>475</v>
      </c>
      <c r="E11">
        <v>52.85</v>
      </c>
    </row>
    <row r="12" spans="2:5" x14ac:dyDescent="0.2">
      <c r="B12" t="s">
        <v>490</v>
      </c>
      <c r="C12" t="s">
        <v>491</v>
      </c>
      <c r="D12" s="65" t="s">
        <v>21</v>
      </c>
      <c r="E12" s="60">
        <v>20.170000000000002</v>
      </c>
    </row>
    <row r="14" spans="2:5" ht="15" x14ac:dyDescent="0.25">
      <c r="C14" s="67" t="s">
        <v>505</v>
      </c>
    </row>
    <row r="15" spans="2:5" x14ac:dyDescent="0.2">
      <c r="B15" t="s">
        <v>492</v>
      </c>
      <c r="C15" s="65" t="s">
        <v>493</v>
      </c>
      <c r="D15" t="s">
        <v>294</v>
      </c>
      <c r="E15">
        <v>62.27</v>
      </c>
    </row>
    <row r="18" spans="2:5" ht="15" x14ac:dyDescent="0.25">
      <c r="C18" s="67" t="s">
        <v>494</v>
      </c>
    </row>
    <row r="19" spans="2:5" x14ac:dyDescent="0.2">
      <c r="C19" s="65" t="s">
        <v>495</v>
      </c>
    </row>
    <row r="21" spans="2:5" ht="15" x14ac:dyDescent="0.25">
      <c r="C21" s="67" t="s">
        <v>496</v>
      </c>
    </row>
    <row r="22" spans="2:5" x14ac:dyDescent="0.2">
      <c r="B22" t="s">
        <v>497</v>
      </c>
      <c r="C22" t="s">
        <v>498</v>
      </c>
      <c r="D22" s="65" t="s">
        <v>21</v>
      </c>
      <c r="E22" s="60">
        <v>16.66</v>
      </c>
    </row>
    <row r="23" spans="2:5" x14ac:dyDescent="0.2">
      <c r="C23" s="65" t="s">
        <v>495</v>
      </c>
    </row>
    <row r="25" spans="2:5" ht="15" x14ac:dyDescent="0.25">
      <c r="C25" s="67" t="s">
        <v>499</v>
      </c>
    </row>
    <row r="26" spans="2:5" ht="28.5" x14ac:dyDescent="0.2">
      <c r="B26" t="s">
        <v>500</v>
      </c>
      <c r="C26" s="65" t="s">
        <v>501</v>
      </c>
      <c r="D26" t="s">
        <v>294</v>
      </c>
      <c r="E26">
        <v>35.01</v>
      </c>
    </row>
    <row r="27" spans="2:5" x14ac:dyDescent="0.2">
      <c r="B27" t="s">
        <v>502</v>
      </c>
      <c r="C27" t="s">
        <v>503</v>
      </c>
      <c r="D27" s="65" t="s">
        <v>294</v>
      </c>
      <c r="E27" s="60">
        <v>49.95</v>
      </c>
    </row>
    <row r="30" spans="2:5" x14ac:dyDescent="0.2">
      <c r="B30" t="s">
        <v>519</v>
      </c>
      <c r="C30" s="65" t="s">
        <v>520</v>
      </c>
      <c r="D30" t="s">
        <v>475</v>
      </c>
      <c r="E30">
        <v>5.29</v>
      </c>
    </row>
    <row r="33" spans="2:6" x14ac:dyDescent="0.2">
      <c r="C33" s="65" t="s">
        <v>518</v>
      </c>
    </row>
    <row r="36" spans="2:6" ht="28.5" x14ac:dyDescent="0.2">
      <c r="B36">
        <v>39601</v>
      </c>
      <c r="C36" s="65" t="s">
        <v>647</v>
      </c>
      <c r="D36" t="s">
        <v>243</v>
      </c>
      <c r="E36" s="124">
        <v>2</v>
      </c>
      <c r="F36">
        <v>27.47</v>
      </c>
    </row>
    <row r="37" spans="2:6" x14ac:dyDescent="0.2">
      <c r="C37" s="65" t="s">
        <v>648</v>
      </c>
      <c r="D37" t="s">
        <v>13</v>
      </c>
      <c r="E37" s="124">
        <v>0.4</v>
      </c>
    </row>
    <row r="38" spans="2:6" x14ac:dyDescent="0.2">
      <c r="C38" s="65" t="s">
        <v>649</v>
      </c>
      <c r="D38" t="s">
        <v>13</v>
      </c>
      <c r="E38" s="124">
        <v>0.4</v>
      </c>
    </row>
    <row r="39" spans="2:6" x14ac:dyDescent="0.2">
      <c r="C39" s="65" t="s">
        <v>650</v>
      </c>
      <c r="D39" t="s">
        <v>243</v>
      </c>
      <c r="E39" s="124">
        <v>1</v>
      </c>
      <c r="F39">
        <v>20</v>
      </c>
    </row>
    <row r="40" spans="2:6" ht="28.5" x14ac:dyDescent="0.2">
      <c r="B40">
        <v>39603</v>
      </c>
      <c r="C40" s="65" t="s">
        <v>651</v>
      </c>
      <c r="D40" t="s">
        <v>243</v>
      </c>
    </row>
    <row r="43" spans="2:6" x14ac:dyDescent="0.2">
      <c r="B43" s="65" t="s">
        <v>632</v>
      </c>
    </row>
    <row r="44" spans="2:6" x14ac:dyDescent="0.2">
      <c r="B44">
        <v>39739</v>
      </c>
    </row>
    <row r="46" spans="2:6" ht="30" x14ac:dyDescent="0.25">
      <c r="B46" s="103" t="s">
        <v>676</v>
      </c>
      <c r="C46" s="67" t="s">
        <v>669</v>
      </c>
    </row>
    <row r="47" spans="2:6" ht="28.5" x14ac:dyDescent="0.2">
      <c r="C47" s="65" t="s">
        <v>669</v>
      </c>
      <c r="D47" s="125" t="s">
        <v>677</v>
      </c>
      <c r="E47">
        <v>1</v>
      </c>
      <c r="F47">
        <f>58+26</f>
        <v>84</v>
      </c>
    </row>
    <row r="48" spans="2:6" x14ac:dyDescent="0.2">
      <c r="C48" s="65" t="s">
        <v>678</v>
      </c>
      <c r="D48" s="125" t="s">
        <v>681</v>
      </c>
      <c r="E48">
        <v>0.35510000000000003</v>
      </c>
    </row>
    <row r="49" spans="2:9" x14ac:dyDescent="0.2">
      <c r="C49" s="65" t="s">
        <v>679</v>
      </c>
      <c r="D49" s="125" t="s">
        <v>681</v>
      </c>
      <c r="E49">
        <v>0.14799999999999999</v>
      </c>
    </row>
    <row r="52" spans="2:9" ht="45" x14ac:dyDescent="0.25">
      <c r="B52" s="127" t="s">
        <v>683</v>
      </c>
      <c r="C52" s="67" t="s">
        <v>668</v>
      </c>
      <c r="D52" s="128" t="s">
        <v>243</v>
      </c>
    </row>
    <row r="53" spans="2:9" x14ac:dyDescent="0.2">
      <c r="C53" s="65" t="s">
        <v>686</v>
      </c>
      <c r="D53" s="128" t="s">
        <v>13</v>
      </c>
      <c r="E53">
        <v>1.39</v>
      </c>
    </row>
    <row r="54" spans="2:9" x14ac:dyDescent="0.2">
      <c r="C54" s="65" t="s">
        <v>684</v>
      </c>
      <c r="D54" s="128" t="s">
        <v>13</v>
      </c>
      <c r="E54">
        <v>6.62</v>
      </c>
    </row>
    <row r="55" spans="2:9" x14ac:dyDescent="0.2">
      <c r="C55" s="65" t="s">
        <v>685</v>
      </c>
      <c r="D55" s="128" t="s">
        <v>13</v>
      </c>
      <c r="E55">
        <v>4.21</v>
      </c>
    </row>
    <row r="56" spans="2:9" ht="42.75" x14ac:dyDescent="0.2">
      <c r="B56" s="126" t="s">
        <v>696</v>
      </c>
      <c r="C56" s="126" t="s">
        <v>695</v>
      </c>
      <c r="D56" s="128" t="s">
        <v>243</v>
      </c>
      <c r="E56" s="129">
        <v>1</v>
      </c>
      <c r="F56" s="129">
        <f>SUM(G56:G63)</f>
        <v>1442.1333333333334</v>
      </c>
      <c r="G56" s="129">
        <v>345</v>
      </c>
      <c r="H56" s="66" t="s">
        <v>688</v>
      </c>
      <c r="I56" s="129">
        <f>F56*3</f>
        <v>4326.4000000000005</v>
      </c>
    </row>
    <row r="57" spans="2:9" x14ac:dyDescent="0.2">
      <c r="G57" s="129">
        <v>455</v>
      </c>
      <c r="H57" s="66" t="s">
        <v>687</v>
      </c>
      <c r="I57" s="66"/>
    </row>
    <row r="58" spans="2:9" x14ac:dyDescent="0.2">
      <c r="G58" s="129">
        <v>285</v>
      </c>
      <c r="H58" s="66" t="s">
        <v>689</v>
      </c>
      <c r="I58" s="66"/>
    </row>
    <row r="59" spans="2:9" x14ac:dyDescent="0.2">
      <c r="G59" s="129">
        <f>70/3</f>
        <v>23.333333333333332</v>
      </c>
      <c r="H59" s="66" t="s">
        <v>690</v>
      </c>
      <c r="I59" s="66"/>
    </row>
    <row r="60" spans="2:9" x14ac:dyDescent="0.2">
      <c r="G60" s="129">
        <v>65.900000000000006</v>
      </c>
      <c r="H60" s="66" t="s">
        <v>691</v>
      </c>
      <c r="I60" s="66"/>
    </row>
    <row r="61" spans="2:9" x14ac:dyDescent="0.2">
      <c r="G61" s="129">
        <v>45</v>
      </c>
      <c r="H61" s="66" t="s">
        <v>692</v>
      </c>
      <c r="I61" s="66"/>
    </row>
    <row r="62" spans="2:9" x14ac:dyDescent="0.2">
      <c r="G62" s="129">
        <v>195</v>
      </c>
      <c r="H62" s="66" t="s">
        <v>693</v>
      </c>
      <c r="I62" s="66"/>
    </row>
    <row r="63" spans="2:9" x14ac:dyDescent="0.2">
      <c r="G63" s="129">
        <v>27.9</v>
      </c>
      <c r="H63" s="66" t="s">
        <v>694</v>
      </c>
      <c r="I63" s="6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MEDIÇÃO</vt:lpstr>
      <vt:lpstr>MC-GAB_ÉRICO</vt:lpstr>
      <vt:lpstr>MC-REF SETIN</vt:lpstr>
      <vt:lpstr>Planilha1</vt:lpstr>
      <vt:lpstr>'MC-GAB_ÉRICO'!Area_de_impressao</vt:lpstr>
      <vt:lpstr>MEDIÇÃO!Area_de_impressao</vt:lpstr>
      <vt:lpstr>MEDIÇÃO!Titulos_de_impressao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vicente.junior</cp:lastModifiedBy>
  <cp:revision>0</cp:revision>
  <cp:lastPrinted>2023-09-26T02:46:01Z</cp:lastPrinted>
  <dcterms:created xsi:type="dcterms:W3CDTF">2022-08-04T14:11:29Z</dcterms:created>
  <dcterms:modified xsi:type="dcterms:W3CDTF">2023-10-20T14:22:47Z</dcterms:modified>
</cp:coreProperties>
</file>